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kbarnes913\Desktop\"/>
    </mc:Choice>
  </mc:AlternateContent>
  <workbookProtection workbookPassword="E5C3" lockStructure="1"/>
  <bookViews>
    <workbookView xWindow="0" yWindow="0" windowWidth="14376" windowHeight="5016" tabRatio="919" activeTab="3"/>
  </bookViews>
  <sheets>
    <sheet name="START" sheetId="7" r:id="rId1"/>
    <sheet name="ENGLISH UNITS " sheetId="6" r:id="rId2"/>
    <sheet name="ENGLISH-TO-METRIC CONVERSION" sheetId="25" r:id="rId3"/>
    <sheet name="METRIC UNITS" sheetId="27" r:id="rId4"/>
    <sheet name="METRIC-TO-ENGLISH CONVERSION" sheetId="26" r:id="rId5"/>
    <sheet name="Munition Data" sheetId="28" state="hidden" r:id="rId6"/>
    <sheet name="Explosive Data" sheetId="29" state="hidden" r:id="rId7"/>
  </sheets>
  <definedNames>
    <definedName name="ACwvu.test1." localSheetId="1" hidden="1">'ENGLISH UNITS '!#REF!</definedName>
    <definedName name="AtmDescrip">'ENGLISH UNITS '!$Q$9:$Q$10</definedName>
    <definedName name="ExplTypes">'Explosive Data'!$A$4:$A$22</definedName>
    <definedName name="lnp">LN('ENGLISH UNITS '!#REF!)</definedName>
    <definedName name="lnz">LN(ZeffPs)</definedName>
    <definedName name="lnzI">LN(ZeffIs)</definedName>
    <definedName name="MultiplyerType">'ENGLISH UNITS '!$Q$5:$Q$6</definedName>
    <definedName name="PEStypes">'ENGLISH UNITS '!$P$5:$P$17</definedName>
    <definedName name="_xlnm.Print_Area" localSheetId="1">'ENGLISH UNITS '!$A$1:$N$66,'ENGLISH UNITS '!$AS$4:$BC$61,'ENGLISH UNITS '!$BE$4:$BO$61</definedName>
    <definedName name="_xlnm.Print_Area" localSheetId="2">'ENGLISH-TO-METRIC CONVERSION'!$A$1:$N$61,'ENGLISH-TO-METRIC CONVERSION'!$P$2:$Z$54,'ENGLISH-TO-METRIC CONVERSION'!$AB$2:$AL$54</definedName>
    <definedName name="_xlnm.Print_Area" localSheetId="3">'METRIC UNITS'!$A$1:$N$66,'METRIC UNITS'!$AS$3:$BC$60,'METRIC UNITS'!$BE$3:$BO$60</definedName>
    <definedName name="_xlnm.Print_Area" localSheetId="4">'METRIC-TO-ENGLISH CONVERSION'!$A$1:$N$61,'METRIC-TO-ENGLISH CONVERSION'!$P$2:$Z$54,'METRIC-TO-ENGLISH CONVERSION'!$AB$2:$AL$54</definedName>
    <definedName name="_xlnm.Print_Area" localSheetId="0">START!$A$1:$K$31</definedName>
    <definedName name="Psos">'ENGLISH UNITS '!$Q$83</definedName>
    <definedName name="range">'ENGLISH UNITS '!$I$6</definedName>
    <definedName name="Swvu.test1." localSheetId="1" hidden="1">'ENGLISH UNITS '!#REF!</definedName>
    <definedName name="TNTEqs">'ENGLISH UNITS '!$T$14:$T$18</definedName>
    <definedName name="w">'ENGLISH UNITS '!$C$23^(1/3)</definedName>
    <definedName name="w_cubrt">'ENGLISH UNITS '!$E$28^(1/3)</definedName>
    <definedName name="WeaponTypes">'ENGLISH UNITS '!$T$5:$T$13</definedName>
    <definedName name="wI">'ENGLISH UNITS '!$E$29^(1/3)</definedName>
    <definedName name="wvu.test1." localSheetId="1" hidden="1">{TRUE,TRUE,1,1,832,511,FALSE,FALSE,TRUE,TRUE,0,1,#N/A,1,#N/A,9.45454545454546,29.1333333333333,1,FALSE,FALSE,3,TRUE,1,FALSE,100,"Swvu.test1.","ACwvu.test1.",#N/A,FALSE,FALSE,0.75,0.75,1,1,1,"&amp;C&amp;""Times New Roman,Bold""&amp;14DDESB BLAST EFFECTS COMPUTER (Version 2.0)","",TRUE,FALSE,FALSE,FALSE,1,64,#N/A,#N/A,"=C1:C9","=R3:R16",#N/A,#N/A,FALSE,FALSE,FALSE,#N/A,4294967292,4294967292,FALSE,FALSE,TRUE,TRUE,TRUE}</definedName>
    <definedName name="Z">'ENGLISH UNITS '!$E$28^(1/3)</definedName>
    <definedName name="Z_056CE40A_1F0B_11D3_A990_00059AA0C83F_.wvu.PrintArea" localSheetId="1" hidden="1">'ENGLISH UNITS '!$C:$O</definedName>
    <definedName name="Z_056CE40A_1F0B_11D3_A990_00059AA0C83F_.wvu.PrintTitles" localSheetId="1" hidden="1">'ENGLISH UNITS '!$4:$17</definedName>
    <definedName name="Z_0E91700A_1DA8_11D3_A990_00059AA0C83F_.wvu.PrintArea" localSheetId="1" hidden="1">'ENGLISH UNITS '!$C:$O</definedName>
    <definedName name="Z_0E91700A_1DA8_11D3_A990_00059AA0C83F_.wvu.PrintTitles" localSheetId="1" hidden="1">'ENGLISH UNITS '!$4:$17</definedName>
    <definedName name="Z_1C290D8A_1345_11D3_A990_00059AA0C83F_.wvu.PrintArea" localSheetId="1" hidden="1">'ENGLISH UNITS '!$C:$O</definedName>
    <definedName name="Z_1C290D8A_1345_11D3_A990_00059AA0C83F_.wvu.PrintTitles" localSheetId="1" hidden="1">'ENGLISH UNITS '!$4:$17</definedName>
    <definedName name="Z_20589D8A_1813_11D3_A990_00059AA0C83F_.wvu.PrintArea" localSheetId="1" hidden="1">'ENGLISH UNITS '!$C:$O</definedName>
    <definedName name="Z_20589D8A_1813_11D3_A990_00059AA0C83F_.wvu.PrintTitles" localSheetId="1" hidden="1">'ENGLISH UNITS '!$4:$17</definedName>
    <definedName name="Z_238E198A_14F3_11D3_A990_00059AA0C83F_.wvu.PrintArea" localSheetId="1" hidden="1">'ENGLISH UNITS '!$C:$O</definedName>
    <definedName name="Z_238E198A_14F3_11D3_A990_00059AA0C83F_.wvu.PrintTitles" localSheetId="1" hidden="1">'ENGLISH UNITS '!$4:$17</definedName>
    <definedName name="Z_238E1996_14F3_11D3_A990_00059AA0C83F_.wvu.PrintArea" localSheetId="1" hidden="1">'ENGLISH UNITS '!$C:$O</definedName>
    <definedName name="Z_238E1996_14F3_11D3_A990_00059AA0C83F_.wvu.PrintTitles" localSheetId="1" hidden="1">'ENGLISH UNITS '!$4:$17</definedName>
    <definedName name="Z_5EC76A20_1B26_11D2_8E77_00059AA0C83F_.wvu.PrintArea" localSheetId="1" hidden="1">'ENGLISH UNITS '!$C:$O</definedName>
    <definedName name="Z_5EC76A20_1B26_11D2_8E77_00059AA0C83F_.wvu.PrintTitles" localSheetId="1" hidden="1">'ENGLISH UNITS '!$4:$17</definedName>
    <definedName name="Z_65BA648A_F94C_11D1_8E77_00059AA0C83F_.wvu.PrintArea" localSheetId="1" hidden="1">'ENGLISH UNITS '!$C:$O</definedName>
    <definedName name="Z_65BA648A_F94C_11D1_8E77_00059AA0C83F_.wvu.PrintTitles" localSheetId="1" hidden="1">'ENGLISH UNITS '!$4:$17</definedName>
    <definedName name="Z_67651E0A_1422_11D3_A990_00059AA0C83F_.wvu.PrintArea" localSheetId="1" hidden="1">'ENGLISH UNITS '!$C:$O</definedName>
    <definedName name="Z_67651E0A_1422_11D3_A990_00059AA0C83F_.wvu.PrintTitles" localSheetId="1" hidden="1">'ENGLISH UNITS '!$4:$17</definedName>
    <definedName name="Z_86C3378A_11E5_11D3_A990_00059AA0C83F_.wvu.PrintArea" localSheetId="1" hidden="1">'ENGLISH UNITS '!$C:$O</definedName>
    <definedName name="Z_86C3378A_11E5_11D3_A990_00059AA0C83F_.wvu.PrintTitles" localSheetId="1" hidden="1">'ENGLISH UNITS '!$4:$17</definedName>
    <definedName name="Z_89F2D90A_E97E_11D1_8E77_00059AA0C83F_.wvu.PrintArea" localSheetId="1" hidden="1">'ENGLISH UNITS '!$C:$O</definedName>
    <definedName name="Z_89F2D90A_E97E_11D1_8E77_00059AA0C83F_.wvu.PrintTitles" localSheetId="1" hidden="1">'ENGLISH UNITS '!$4:$17</definedName>
    <definedName name="Z_8E8B208A_14F2_11D3_A990_00059AA0C83F_.wvu.PrintArea" localSheetId="1" hidden="1">'ENGLISH UNITS '!$C:$O</definedName>
    <definedName name="Z_8E8B208A_14F2_11D3_A990_00059AA0C83F_.wvu.PrintTitles" localSheetId="1" hidden="1">'ENGLISH UNITS '!$4:$17</definedName>
    <definedName name="Z_A0B26574_167B_11D2_8E77_00059AA0C83F_.wvu.PrintArea" localSheetId="1" hidden="1">'ENGLISH UNITS '!$C:$O</definedName>
    <definedName name="Z_A0B26574_167B_11D2_8E77_00059AA0C83F_.wvu.PrintTitles" localSheetId="1" hidden="1">'ENGLISH UNITS '!$4:$17</definedName>
    <definedName name="Z_A73AF50B_1E67_11D3_A990_00059AA0C83F_.wvu.PrintArea" localSheetId="1" hidden="1">'ENGLISH UNITS '!$C:$O</definedName>
    <definedName name="Z_A73AF50B_1E67_11D3_A990_00059AA0C83F_.wvu.PrintTitles" localSheetId="1" hidden="1">'ENGLISH UNITS '!$4:$17</definedName>
    <definedName name="Z_B1FB0C88_4379_11D3_A990_00059AA0C83F_.wvu.PrintArea" localSheetId="1" hidden="1">'ENGLISH UNITS '!$C:$O</definedName>
    <definedName name="Z_B1FB0C88_4379_11D3_A990_00059AA0C83F_.wvu.PrintTitles" localSheetId="1" hidden="1">'ENGLISH UNITS '!$4:$17</definedName>
    <definedName name="Z_CA25EA8A_14F2_11D3_A990_00059AA0C83F_.wvu.PrintArea" localSheetId="1" hidden="1">'ENGLISH UNITS '!$C:$O</definedName>
    <definedName name="Z_CA25EA8A_14F2_11D3_A990_00059AA0C83F_.wvu.PrintTitles" localSheetId="1" hidden="1">'ENGLISH UNITS '!$4:$17</definedName>
    <definedName name="Z_E7C7810C_4A5A_11D3_A990_00059AA0C83F_.wvu.PrintArea" localSheetId="1" hidden="1">'ENGLISH UNITS '!$C:$O</definedName>
    <definedName name="Z_E7C7810C_4A5A_11D3_A990_00059AA0C83F_.wvu.PrintTitles" localSheetId="1" hidden="1">'ENGLISH UNITS '!$4:$17</definedName>
    <definedName name="Z_FA84438A_12BC_11D3_A990_00059AA0C83F_.wvu.PrintArea" localSheetId="1" hidden="1">'ENGLISH UNITS '!$C:$O</definedName>
    <definedName name="Z_FA84438A_12BC_11D3_A990_00059AA0C83F_.wvu.PrintTitles" localSheetId="1" hidden="1">'ENGLISH UNITS '!$4:$17</definedName>
    <definedName name="Z_FB9EB60A_14F2_11D3_A990_00059AA0C83F_.wvu.PrintArea" localSheetId="1" hidden="1">'ENGLISH UNITS '!$C:$O</definedName>
    <definedName name="Z_FB9EB60A_14F2_11D3_A990_00059AA0C83F_.wvu.PrintTitles" localSheetId="1" hidden="1">'ENGLISH UNITS '!$4:$17</definedName>
    <definedName name="Z_FE76CC0A_2005_11D3_A990_00059AA0C83F_.wvu.PrintArea" localSheetId="1" hidden="1">'ENGLISH UNITS '!$C:$O</definedName>
    <definedName name="Z_FE76CC0A_2005_11D3_A990_00059AA0C83F_.wvu.PrintTitles" localSheetId="1" hidden="1">'ENGLISH UNITS '!$4:$17</definedName>
    <definedName name="ZeffIs">'ENGLISH UNITS '!$Q$80</definedName>
    <definedName name="ZeffPs">'ENGLISH UNITS '!$Q$79</definedName>
    <definedName name="ZI">'ENGLISH UNITS '!$E$29^(1/3)</definedName>
  </definedNames>
  <calcPr calcId="162913"/>
  <customWorkbookViews>
    <customWorkbookView name="test1 (Sheet1)" guid="{E7C7810C-4A5A-11D3-A990-00059AA0C83F}" maximized="1" xWindow="5" yWindow="21" windowWidth="821" windowHeight="484" tabRatio="170" activeSheetId="6"/>
  </customWorkbookViews>
</workbook>
</file>

<file path=xl/calcChain.xml><?xml version="1.0" encoding="utf-8"?>
<calcChain xmlns="http://schemas.openxmlformats.org/spreadsheetml/2006/main">
  <c r="AS25" i="27" l="1"/>
  <c r="R127" i="27"/>
  <c r="Q127" i="27"/>
  <c r="R126" i="27"/>
  <c r="Q126" i="27"/>
  <c r="R125" i="27"/>
  <c r="Q125" i="27"/>
  <c r="R124" i="27"/>
  <c r="Q124" i="27"/>
  <c r="R123" i="27"/>
  <c r="Q123" i="27"/>
  <c r="R122" i="27"/>
  <c r="Q122" i="27"/>
  <c r="R121" i="27"/>
  <c r="Q121" i="27"/>
  <c r="R120" i="27"/>
  <c r="Q120" i="27"/>
  <c r="R119" i="27"/>
  <c r="Q119" i="27"/>
  <c r="R118" i="27"/>
  <c r="Q118" i="27"/>
  <c r="R128" i="6"/>
  <c r="Q128" i="6"/>
  <c r="R127" i="6"/>
  <c r="Q127" i="6"/>
  <c r="R126" i="6"/>
  <c r="Q126" i="6"/>
  <c r="R125" i="6"/>
  <c r="Q125" i="6"/>
  <c r="R124" i="6"/>
  <c r="Q124" i="6"/>
  <c r="R123" i="6"/>
  <c r="Q123" i="6"/>
  <c r="R122" i="6"/>
  <c r="Q122" i="6"/>
  <c r="R121" i="6"/>
  <c r="Q121" i="6"/>
  <c r="R120" i="6"/>
  <c r="Q120" i="6"/>
  <c r="R119" i="6"/>
  <c r="Q119" i="6"/>
  <c r="AL54" i="26" l="1"/>
  <c r="AK54" i="26"/>
  <c r="AJ54" i="26"/>
  <c r="AI54" i="26"/>
  <c r="AG54" i="26"/>
  <c r="AF54" i="26"/>
  <c r="Z54" i="26"/>
  <c r="Y54" i="26"/>
  <c r="X54" i="26"/>
  <c r="W54" i="26"/>
  <c r="U54" i="26"/>
  <c r="T54" i="26"/>
  <c r="AL53" i="26"/>
  <c r="AK53" i="26"/>
  <c r="AJ53" i="26"/>
  <c r="AI53" i="26"/>
  <c r="AG53" i="26"/>
  <c r="AF53" i="26"/>
  <c r="Z53" i="26"/>
  <c r="Y53" i="26"/>
  <c r="X53" i="26"/>
  <c r="W53" i="26"/>
  <c r="U53" i="26"/>
  <c r="T53" i="26"/>
  <c r="AL52" i="26"/>
  <c r="AK52" i="26"/>
  <c r="AJ52" i="26"/>
  <c r="AI52" i="26"/>
  <c r="AG52" i="26"/>
  <c r="AF52" i="26"/>
  <c r="Z52" i="26"/>
  <c r="Y52" i="26"/>
  <c r="X52" i="26"/>
  <c r="W52" i="26"/>
  <c r="U52" i="26"/>
  <c r="T52" i="26"/>
  <c r="AL51" i="26"/>
  <c r="AK51" i="26"/>
  <c r="AJ51" i="26"/>
  <c r="AI51" i="26"/>
  <c r="AG51" i="26"/>
  <c r="AF51" i="26"/>
  <c r="Z51" i="26"/>
  <c r="Y51" i="26"/>
  <c r="X51" i="26"/>
  <c r="W51" i="26"/>
  <c r="U51" i="26"/>
  <c r="T51" i="26"/>
  <c r="AL50" i="26"/>
  <c r="AK50" i="26"/>
  <c r="AJ50" i="26"/>
  <c r="AI50" i="26"/>
  <c r="AG50" i="26"/>
  <c r="AF50" i="26"/>
  <c r="Z50" i="26"/>
  <c r="Y50" i="26"/>
  <c r="X50" i="26"/>
  <c r="W50" i="26"/>
  <c r="U50" i="26"/>
  <c r="T50" i="26"/>
  <c r="AL49" i="26"/>
  <c r="AK49" i="26"/>
  <c r="AJ49" i="26"/>
  <c r="AI49" i="26"/>
  <c r="AG49" i="26"/>
  <c r="AF49" i="26"/>
  <c r="Z49" i="26"/>
  <c r="Y49" i="26"/>
  <c r="X49" i="26"/>
  <c r="W49" i="26"/>
  <c r="U49" i="26"/>
  <c r="T49" i="26"/>
  <c r="AL48" i="26"/>
  <c r="AK48" i="26"/>
  <c r="AJ48" i="26"/>
  <c r="AI48" i="26"/>
  <c r="AG48" i="26"/>
  <c r="AF48" i="26"/>
  <c r="Z48" i="26"/>
  <c r="Y48" i="26"/>
  <c r="X48" i="26"/>
  <c r="W48" i="26"/>
  <c r="U48" i="26"/>
  <c r="T48" i="26"/>
  <c r="AL47" i="26"/>
  <c r="AK47" i="26"/>
  <c r="AJ47" i="26"/>
  <c r="AI47" i="26"/>
  <c r="AG47" i="26"/>
  <c r="AF47" i="26"/>
  <c r="Z47" i="26"/>
  <c r="Y47" i="26"/>
  <c r="X47" i="26"/>
  <c r="W47" i="26"/>
  <c r="U47" i="26"/>
  <c r="T47" i="26"/>
  <c r="AL46" i="26"/>
  <c r="AK46" i="26"/>
  <c r="AJ46" i="26"/>
  <c r="AI46" i="26"/>
  <c r="AG46" i="26"/>
  <c r="AF46" i="26"/>
  <c r="Z46" i="26"/>
  <c r="Y46" i="26"/>
  <c r="X46" i="26"/>
  <c r="W46" i="26"/>
  <c r="U46" i="26"/>
  <c r="T46" i="26"/>
  <c r="AL45" i="26"/>
  <c r="AK45" i="26"/>
  <c r="AJ45" i="26"/>
  <c r="AI45" i="26"/>
  <c r="AG45" i="26"/>
  <c r="AF45" i="26"/>
  <c r="Z45" i="26"/>
  <c r="Y45" i="26"/>
  <c r="X45" i="26"/>
  <c r="W45" i="26"/>
  <c r="U45" i="26"/>
  <c r="T45" i="26"/>
  <c r="AL44" i="26"/>
  <c r="AK44" i="26"/>
  <c r="AJ44" i="26"/>
  <c r="AI44" i="26"/>
  <c r="AG44" i="26"/>
  <c r="AF44" i="26"/>
  <c r="Z44" i="26"/>
  <c r="Y44" i="26"/>
  <c r="X44" i="26"/>
  <c r="W44" i="26"/>
  <c r="U44" i="26"/>
  <c r="T44" i="26"/>
  <c r="AL43" i="26"/>
  <c r="AK43" i="26"/>
  <c r="AJ43" i="26"/>
  <c r="AI43" i="26"/>
  <c r="AG43" i="26"/>
  <c r="AF43" i="26"/>
  <c r="Z43" i="26"/>
  <c r="Y43" i="26"/>
  <c r="X43" i="26"/>
  <c r="W43" i="26"/>
  <c r="U43" i="26"/>
  <c r="T43" i="26"/>
  <c r="AL42" i="26"/>
  <c r="AK42" i="26"/>
  <c r="AJ42" i="26"/>
  <c r="AI42" i="26"/>
  <c r="AG42" i="26"/>
  <c r="AF42" i="26"/>
  <c r="Z42" i="26"/>
  <c r="Y42" i="26"/>
  <c r="X42" i="26"/>
  <c r="W42" i="26"/>
  <c r="U42" i="26"/>
  <c r="T42" i="26"/>
  <c r="AL41" i="26"/>
  <c r="AK41" i="26"/>
  <c r="AJ41" i="26"/>
  <c r="AI41" i="26"/>
  <c r="AG41" i="26"/>
  <c r="AF41" i="26"/>
  <c r="Z41" i="26"/>
  <c r="Y41" i="26"/>
  <c r="X41" i="26"/>
  <c r="W41" i="26"/>
  <c r="U41" i="26"/>
  <c r="T41" i="26"/>
  <c r="AL40" i="26"/>
  <c r="AK40" i="26"/>
  <c r="AJ40" i="26"/>
  <c r="AI40" i="26"/>
  <c r="AG40" i="26"/>
  <c r="AF40" i="26"/>
  <c r="Z40" i="26"/>
  <c r="Y40" i="26"/>
  <c r="X40" i="26"/>
  <c r="W40" i="26"/>
  <c r="U40" i="26"/>
  <c r="T40" i="26"/>
  <c r="AL39" i="26"/>
  <c r="AK39" i="26"/>
  <c r="AJ39" i="26"/>
  <c r="AI39" i="26"/>
  <c r="AG39" i="26"/>
  <c r="AF39" i="26"/>
  <c r="Z39" i="26"/>
  <c r="Y39" i="26"/>
  <c r="X39" i="26"/>
  <c r="W39" i="26"/>
  <c r="U39" i="26"/>
  <c r="T39" i="26"/>
  <c r="AL38" i="26"/>
  <c r="AK38" i="26"/>
  <c r="AJ38" i="26"/>
  <c r="AI38" i="26"/>
  <c r="AG38" i="26"/>
  <c r="AF38" i="26"/>
  <c r="Z38" i="26"/>
  <c r="Y38" i="26"/>
  <c r="X38" i="26"/>
  <c r="W38" i="26"/>
  <c r="U38" i="26"/>
  <c r="T38" i="26"/>
  <c r="AL37" i="26"/>
  <c r="AK37" i="26"/>
  <c r="AJ37" i="26"/>
  <c r="AI37" i="26"/>
  <c r="AG37" i="26"/>
  <c r="AF37" i="26"/>
  <c r="Z37" i="26"/>
  <c r="Y37" i="26"/>
  <c r="X37" i="26"/>
  <c r="W37" i="26"/>
  <c r="U37" i="26"/>
  <c r="T37" i="26"/>
  <c r="AL36" i="26"/>
  <c r="AK36" i="26"/>
  <c r="AJ36" i="26"/>
  <c r="AI36" i="26"/>
  <c r="AG36" i="26"/>
  <c r="AF36" i="26"/>
  <c r="Z36" i="26"/>
  <c r="Y36" i="26"/>
  <c r="X36" i="26"/>
  <c r="W36" i="26"/>
  <c r="U36" i="26"/>
  <c r="T36" i="26"/>
  <c r="AL35" i="26"/>
  <c r="AK35" i="26"/>
  <c r="AJ35" i="26"/>
  <c r="AI35" i="26"/>
  <c r="AG35" i="26"/>
  <c r="AF35" i="26"/>
  <c r="Z35" i="26"/>
  <c r="Y35" i="26"/>
  <c r="X35" i="26"/>
  <c r="W35" i="26"/>
  <c r="U35" i="26"/>
  <c r="T35" i="26"/>
  <c r="AL34" i="26"/>
  <c r="AK34" i="26"/>
  <c r="AJ34" i="26"/>
  <c r="AI34" i="26"/>
  <c r="AG34" i="26"/>
  <c r="AF34" i="26"/>
  <c r="Z34" i="26"/>
  <c r="Y34" i="26"/>
  <c r="X34" i="26"/>
  <c r="W34" i="26"/>
  <c r="U34" i="26"/>
  <c r="T34" i="26"/>
  <c r="AL33" i="26"/>
  <c r="AK33" i="26"/>
  <c r="AJ33" i="26"/>
  <c r="AI33" i="26"/>
  <c r="AG33" i="26"/>
  <c r="AF33" i="26"/>
  <c r="Z33" i="26"/>
  <c r="Y33" i="26"/>
  <c r="X33" i="26"/>
  <c r="W33" i="26"/>
  <c r="U33" i="26"/>
  <c r="T33" i="26"/>
  <c r="AL32" i="26"/>
  <c r="AK32" i="26"/>
  <c r="AJ32" i="26"/>
  <c r="AI32" i="26"/>
  <c r="AG32" i="26"/>
  <c r="AF32" i="26"/>
  <c r="Z32" i="26"/>
  <c r="Y32" i="26"/>
  <c r="X32" i="26"/>
  <c r="W32" i="26"/>
  <c r="U32" i="26"/>
  <c r="T32" i="26"/>
  <c r="AL31" i="26"/>
  <c r="AK31" i="26"/>
  <c r="AJ31" i="26"/>
  <c r="AI31" i="26"/>
  <c r="AG31" i="26"/>
  <c r="AF31" i="26"/>
  <c r="Z31" i="26"/>
  <c r="Y31" i="26"/>
  <c r="X31" i="26"/>
  <c r="W31" i="26"/>
  <c r="U31" i="26"/>
  <c r="T31" i="26"/>
  <c r="AL30" i="26"/>
  <c r="AK30" i="26"/>
  <c r="AJ30" i="26"/>
  <c r="AI30" i="26"/>
  <c r="AG30" i="26"/>
  <c r="AF30" i="26"/>
  <c r="Z30" i="26"/>
  <c r="Y30" i="26"/>
  <c r="X30" i="26"/>
  <c r="W30" i="26"/>
  <c r="U30" i="26"/>
  <c r="T30" i="26"/>
  <c r="AL29" i="26"/>
  <c r="AK29" i="26"/>
  <c r="AJ29" i="26"/>
  <c r="AI29" i="26"/>
  <c r="AG29" i="26"/>
  <c r="AF29" i="26"/>
  <c r="Z29" i="26"/>
  <c r="Y29" i="26"/>
  <c r="X29" i="26"/>
  <c r="W29" i="26"/>
  <c r="U29" i="26"/>
  <c r="T29" i="26"/>
  <c r="AL28" i="26"/>
  <c r="AK28" i="26"/>
  <c r="AJ28" i="26"/>
  <c r="AI28" i="26"/>
  <c r="AG28" i="26"/>
  <c r="AF28" i="26"/>
  <c r="Z28" i="26"/>
  <c r="Y28" i="26"/>
  <c r="X28" i="26"/>
  <c r="W28" i="26"/>
  <c r="U28" i="26"/>
  <c r="T28" i="26"/>
  <c r="AL27" i="26"/>
  <c r="AK27" i="26"/>
  <c r="AJ27" i="26"/>
  <c r="AI27" i="26"/>
  <c r="AG27" i="26"/>
  <c r="AF27" i="26"/>
  <c r="Z27" i="26"/>
  <c r="Y27" i="26"/>
  <c r="X27" i="26"/>
  <c r="W27" i="26"/>
  <c r="U27" i="26"/>
  <c r="T27" i="26"/>
  <c r="AL26" i="26"/>
  <c r="AK26" i="26"/>
  <c r="AJ26" i="26"/>
  <c r="AI26" i="26"/>
  <c r="AG26" i="26"/>
  <c r="AF26" i="26"/>
  <c r="Z26" i="26"/>
  <c r="Y26" i="26"/>
  <c r="X26" i="26"/>
  <c r="W26" i="26"/>
  <c r="U26" i="26"/>
  <c r="T26" i="26"/>
  <c r="AL25" i="26"/>
  <c r="AK25" i="26"/>
  <c r="AJ25" i="26"/>
  <c r="AI25" i="26"/>
  <c r="AG25" i="26"/>
  <c r="AF25" i="26"/>
  <c r="Z25" i="26"/>
  <c r="Y25" i="26"/>
  <c r="X25" i="26"/>
  <c r="W25" i="26"/>
  <c r="U25" i="26"/>
  <c r="T25" i="26"/>
  <c r="AL24" i="26"/>
  <c r="AK24" i="26"/>
  <c r="AJ24" i="26"/>
  <c r="AI24" i="26"/>
  <c r="AG24" i="26"/>
  <c r="AF24" i="26"/>
  <c r="Z24" i="26"/>
  <c r="Y24" i="26"/>
  <c r="X24" i="26"/>
  <c r="W24" i="26"/>
  <c r="U24" i="26"/>
  <c r="T24" i="26"/>
  <c r="AL23" i="26"/>
  <c r="AK23" i="26"/>
  <c r="AJ23" i="26"/>
  <c r="AI23" i="26"/>
  <c r="AG23" i="26"/>
  <c r="AF23" i="26"/>
  <c r="Z23" i="26"/>
  <c r="Y23" i="26"/>
  <c r="X23" i="26"/>
  <c r="W23" i="26"/>
  <c r="U23" i="26"/>
  <c r="T23" i="26"/>
  <c r="AL22" i="26"/>
  <c r="AK22" i="26"/>
  <c r="AJ22" i="26"/>
  <c r="AI22" i="26"/>
  <c r="AG22" i="26"/>
  <c r="AF22" i="26"/>
  <c r="Z22" i="26"/>
  <c r="Y22" i="26"/>
  <c r="X22" i="26"/>
  <c r="W22" i="26"/>
  <c r="U22" i="26"/>
  <c r="T22" i="26"/>
  <c r="AL21" i="26"/>
  <c r="AK21" i="26"/>
  <c r="AJ21" i="26"/>
  <c r="AI21" i="26"/>
  <c r="AG21" i="26"/>
  <c r="AF21" i="26"/>
  <c r="Z21" i="26"/>
  <c r="Y21" i="26"/>
  <c r="X21" i="26"/>
  <c r="W21" i="26"/>
  <c r="U21" i="26"/>
  <c r="T21" i="26"/>
  <c r="AL20" i="26"/>
  <c r="AK20" i="26"/>
  <c r="AJ20" i="26"/>
  <c r="AI20" i="26"/>
  <c r="AG20" i="26"/>
  <c r="AF20" i="26"/>
  <c r="Z20" i="26"/>
  <c r="Y20" i="26"/>
  <c r="X20" i="26"/>
  <c r="W20" i="26"/>
  <c r="U20" i="26"/>
  <c r="T20" i="26"/>
  <c r="AL19" i="26"/>
  <c r="AK19" i="26"/>
  <c r="AJ19" i="26"/>
  <c r="AI19" i="26"/>
  <c r="AG19" i="26"/>
  <c r="AF19" i="26"/>
  <c r="Z19" i="26"/>
  <c r="Y19" i="26"/>
  <c r="X19" i="26"/>
  <c r="W19" i="26"/>
  <c r="U19" i="26"/>
  <c r="T19" i="26"/>
  <c r="AL18" i="26"/>
  <c r="AK18" i="26"/>
  <c r="AJ18" i="26"/>
  <c r="AI18" i="26"/>
  <c r="AG18" i="26"/>
  <c r="AF18" i="26"/>
  <c r="Z18" i="26"/>
  <c r="Y18" i="26"/>
  <c r="X18" i="26"/>
  <c r="W18" i="26"/>
  <c r="U18" i="26"/>
  <c r="T18" i="26"/>
  <c r="AL17" i="26"/>
  <c r="AK17" i="26"/>
  <c r="AJ17" i="26"/>
  <c r="AI17" i="26"/>
  <c r="AG17" i="26"/>
  <c r="AF17" i="26"/>
  <c r="Z17" i="26"/>
  <c r="Y17" i="26"/>
  <c r="X17" i="26"/>
  <c r="W17" i="26"/>
  <c r="U17" i="26"/>
  <c r="T17" i="26"/>
  <c r="AD54" i="26"/>
  <c r="AD53" i="26"/>
  <c r="AD52" i="26"/>
  <c r="AD51" i="26"/>
  <c r="AD50" i="26"/>
  <c r="AD49" i="26"/>
  <c r="AD48" i="26"/>
  <c r="AD47" i="26"/>
  <c r="AD46" i="26"/>
  <c r="AD45" i="26"/>
  <c r="AD44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W11" i="26"/>
  <c r="J6" i="26"/>
  <c r="AL54" i="25"/>
  <c r="AK54" i="25"/>
  <c r="AJ54" i="25"/>
  <c r="AI54" i="25"/>
  <c r="AG54" i="25"/>
  <c r="AF54" i="25"/>
  <c r="Z54" i="25"/>
  <c r="Y54" i="25"/>
  <c r="X54" i="25"/>
  <c r="W54" i="25"/>
  <c r="U54" i="25"/>
  <c r="T54" i="25"/>
  <c r="AL53" i="25"/>
  <c r="AK53" i="25"/>
  <c r="AJ53" i="25"/>
  <c r="AI53" i="25"/>
  <c r="AG53" i="25"/>
  <c r="AF53" i="25"/>
  <c r="Z53" i="25"/>
  <c r="Y53" i="25"/>
  <c r="X53" i="25"/>
  <c r="W53" i="25"/>
  <c r="U53" i="25"/>
  <c r="T53" i="25"/>
  <c r="AL52" i="25"/>
  <c r="AK52" i="25"/>
  <c r="AJ52" i="25"/>
  <c r="AI52" i="25"/>
  <c r="AG52" i="25"/>
  <c r="AF52" i="25"/>
  <c r="Z52" i="25"/>
  <c r="Y52" i="25"/>
  <c r="X52" i="25"/>
  <c r="W52" i="25"/>
  <c r="U52" i="25"/>
  <c r="T52" i="25"/>
  <c r="AL51" i="25"/>
  <c r="AK51" i="25"/>
  <c r="AJ51" i="25"/>
  <c r="AI51" i="25"/>
  <c r="AG51" i="25"/>
  <c r="AF51" i="25"/>
  <c r="Z51" i="25"/>
  <c r="Y51" i="25"/>
  <c r="X51" i="25"/>
  <c r="W51" i="25"/>
  <c r="U51" i="25"/>
  <c r="T51" i="25"/>
  <c r="AL50" i="25"/>
  <c r="AK50" i="25"/>
  <c r="AJ50" i="25"/>
  <c r="AI50" i="25"/>
  <c r="AG50" i="25"/>
  <c r="AF50" i="25"/>
  <c r="Z50" i="25"/>
  <c r="Y50" i="25"/>
  <c r="X50" i="25"/>
  <c r="W50" i="25"/>
  <c r="U50" i="25"/>
  <c r="T50" i="25"/>
  <c r="AL49" i="25"/>
  <c r="AK49" i="25"/>
  <c r="AJ49" i="25"/>
  <c r="AI49" i="25"/>
  <c r="AG49" i="25"/>
  <c r="AF49" i="25"/>
  <c r="Z49" i="25"/>
  <c r="Y49" i="25"/>
  <c r="X49" i="25"/>
  <c r="W49" i="25"/>
  <c r="U49" i="25"/>
  <c r="T49" i="25"/>
  <c r="AL48" i="25"/>
  <c r="AK48" i="25"/>
  <c r="AJ48" i="25"/>
  <c r="AI48" i="25"/>
  <c r="AG48" i="25"/>
  <c r="AF48" i="25"/>
  <c r="Z48" i="25"/>
  <c r="Y48" i="25"/>
  <c r="X48" i="25"/>
  <c r="W48" i="25"/>
  <c r="U48" i="25"/>
  <c r="T48" i="25"/>
  <c r="AL47" i="25"/>
  <c r="AK47" i="25"/>
  <c r="AJ47" i="25"/>
  <c r="AI47" i="25"/>
  <c r="AG47" i="25"/>
  <c r="AF47" i="25"/>
  <c r="Z47" i="25"/>
  <c r="Y47" i="25"/>
  <c r="X47" i="25"/>
  <c r="W47" i="25"/>
  <c r="U47" i="25"/>
  <c r="T47" i="25"/>
  <c r="AL46" i="25"/>
  <c r="AK46" i="25"/>
  <c r="AJ46" i="25"/>
  <c r="AI46" i="25"/>
  <c r="AG46" i="25"/>
  <c r="AF46" i="25"/>
  <c r="Z46" i="25"/>
  <c r="Y46" i="25"/>
  <c r="X46" i="25"/>
  <c r="W46" i="25"/>
  <c r="U46" i="25"/>
  <c r="T46" i="25"/>
  <c r="AL45" i="25"/>
  <c r="AK45" i="25"/>
  <c r="AJ45" i="25"/>
  <c r="AI45" i="25"/>
  <c r="AG45" i="25"/>
  <c r="AF45" i="25"/>
  <c r="Z45" i="25"/>
  <c r="Y45" i="25"/>
  <c r="X45" i="25"/>
  <c r="W45" i="25"/>
  <c r="U45" i="25"/>
  <c r="T45" i="25"/>
  <c r="AL44" i="25"/>
  <c r="AK44" i="25"/>
  <c r="AJ44" i="25"/>
  <c r="AI44" i="25"/>
  <c r="AG44" i="25"/>
  <c r="AF44" i="25"/>
  <c r="Z44" i="25"/>
  <c r="Y44" i="25"/>
  <c r="X44" i="25"/>
  <c r="W44" i="25"/>
  <c r="U44" i="25"/>
  <c r="T44" i="25"/>
  <c r="AL43" i="25"/>
  <c r="AK43" i="25"/>
  <c r="AJ43" i="25"/>
  <c r="AI43" i="25"/>
  <c r="AG43" i="25"/>
  <c r="AF43" i="25"/>
  <c r="Z43" i="25"/>
  <c r="Y43" i="25"/>
  <c r="X43" i="25"/>
  <c r="W43" i="25"/>
  <c r="U43" i="25"/>
  <c r="T43" i="25"/>
  <c r="AL42" i="25"/>
  <c r="AK42" i="25"/>
  <c r="AJ42" i="25"/>
  <c r="AI42" i="25"/>
  <c r="AG42" i="25"/>
  <c r="AF42" i="25"/>
  <c r="Z42" i="25"/>
  <c r="Y42" i="25"/>
  <c r="X42" i="25"/>
  <c r="W42" i="25"/>
  <c r="U42" i="25"/>
  <c r="T42" i="25"/>
  <c r="AL41" i="25"/>
  <c r="AK41" i="25"/>
  <c r="AJ41" i="25"/>
  <c r="AI41" i="25"/>
  <c r="AG41" i="25"/>
  <c r="AF41" i="25"/>
  <c r="Z41" i="25"/>
  <c r="Y41" i="25"/>
  <c r="X41" i="25"/>
  <c r="W41" i="25"/>
  <c r="U41" i="25"/>
  <c r="T41" i="25"/>
  <c r="AL40" i="25"/>
  <c r="AK40" i="25"/>
  <c r="AJ40" i="25"/>
  <c r="AI40" i="25"/>
  <c r="AG40" i="25"/>
  <c r="AF40" i="25"/>
  <c r="Z40" i="25"/>
  <c r="Y40" i="25"/>
  <c r="X40" i="25"/>
  <c r="W40" i="25"/>
  <c r="U40" i="25"/>
  <c r="T40" i="25"/>
  <c r="AL39" i="25"/>
  <c r="AK39" i="25"/>
  <c r="AJ39" i="25"/>
  <c r="AI39" i="25"/>
  <c r="AG39" i="25"/>
  <c r="AF39" i="25"/>
  <c r="Z39" i="25"/>
  <c r="Y39" i="25"/>
  <c r="X39" i="25"/>
  <c r="W39" i="25"/>
  <c r="U39" i="25"/>
  <c r="T39" i="25"/>
  <c r="AL38" i="25"/>
  <c r="AK38" i="25"/>
  <c r="AJ38" i="25"/>
  <c r="AI38" i="25"/>
  <c r="AG38" i="25"/>
  <c r="AF38" i="25"/>
  <c r="Z38" i="25"/>
  <c r="Y38" i="25"/>
  <c r="X38" i="25"/>
  <c r="W38" i="25"/>
  <c r="U38" i="25"/>
  <c r="T38" i="25"/>
  <c r="AL37" i="25"/>
  <c r="AK37" i="25"/>
  <c r="AJ37" i="25"/>
  <c r="AI37" i="25"/>
  <c r="AG37" i="25"/>
  <c r="AF37" i="25"/>
  <c r="Z37" i="25"/>
  <c r="Y37" i="25"/>
  <c r="X37" i="25"/>
  <c r="W37" i="25"/>
  <c r="U37" i="25"/>
  <c r="T37" i="25"/>
  <c r="AL36" i="25"/>
  <c r="AK36" i="25"/>
  <c r="AJ36" i="25"/>
  <c r="AI36" i="25"/>
  <c r="AG36" i="25"/>
  <c r="AF36" i="25"/>
  <c r="Z36" i="25"/>
  <c r="Y36" i="25"/>
  <c r="X36" i="25"/>
  <c r="W36" i="25"/>
  <c r="U36" i="25"/>
  <c r="T36" i="25"/>
  <c r="AL35" i="25"/>
  <c r="AK35" i="25"/>
  <c r="AJ35" i="25"/>
  <c r="AI35" i="25"/>
  <c r="AG35" i="25"/>
  <c r="AF35" i="25"/>
  <c r="Z35" i="25"/>
  <c r="Y35" i="25"/>
  <c r="X35" i="25"/>
  <c r="W35" i="25"/>
  <c r="U35" i="25"/>
  <c r="T35" i="25"/>
  <c r="AL34" i="25"/>
  <c r="AK34" i="25"/>
  <c r="AJ34" i="25"/>
  <c r="AI34" i="25"/>
  <c r="AG34" i="25"/>
  <c r="AF34" i="25"/>
  <c r="Z34" i="25"/>
  <c r="Y34" i="25"/>
  <c r="X34" i="25"/>
  <c r="W34" i="25"/>
  <c r="U34" i="25"/>
  <c r="T34" i="25"/>
  <c r="AL33" i="25"/>
  <c r="AK33" i="25"/>
  <c r="AJ33" i="25"/>
  <c r="AI33" i="25"/>
  <c r="AG33" i="25"/>
  <c r="AF33" i="25"/>
  <c r="Z33" i="25"/>
  <c r="Y33" i="25"/>
  <c r="X33" i="25"/>
  <c r="W33" i="25"/>
  <c r="U33" i="25"/>
  <c r="T33" i="25"/>
  <c r="AL32" i="25"/>
  <c r="AK32" i="25"/>
  <c r="AJ32" i="25"/>
  <c r="AI32" i="25"/>
  <c r="AG32" i="25"/>
  <c r="AF32" i="25"/>
  <c r="Z32" i="25"/>
  <c r="Y32" i="25"/>
  <c r="X32" i="25"/>
  <c r="W32" i="25"/>
  <c r="U32" i="25"/>
  <c r="T32" i="25"/>
  <c r="AL31" i="25"/>
  <c r="AK31" i="25"/>
  <c r="AJ31" i="25"/>
  <c r="AI31" i="25"/>
  <c r="AG31" i="25"/>
  <c r="AF31" i="25"/>
  <c r="Z31" i="25"/>
  <c r="Y31" i="25"/>
  <c r="X31" i="25"/>
  <c r="W31" i="25"/>
  <c r="U31" i="25"/>
  <c r="T31" i="25"/>
  <c r="AL30" i="25"/>
  <c r="AK30" i="25"/>
  <c r="AJ30" i="25"/>
  <c r="AI30" i="25"/>
  <c r="AG30" i="25"/>
  <c r="AF30" i="25"/>
  <c r="Z30" i="25"/>
  <c r="Y30" i="25"/>
  <c r="X30" i="25"/>
  <c r="W30" i="25"/>
  <c r="U30" i="25"/>
  <c r="T30" i="25"/>
  <c r="AL29" i="25"/>
  <c r="AK29" i="25"/>
  <c r="AJ29" i="25"/>
  <c r="AI29" i="25"/>
  <c r="AG29" i="25"/>
  <c r="AF29" i="25"/>
  <c r="Z29" i="25"/>
  <c r="Y29" i="25"/>
  <c r="X29" i="25"/>
  <c r="W29" i="25"/>
  <c r="U29" i="25"/>
  <c r="T29" i="25"/>
  <c r="AL28" i="25"/>
  <c r="AK28" i="25"/>
  <c r="AJ28" i="25"/>
  <c r="AI28" i="25"/>
  <c r="AG28" i="25"/>
  <c r="AF28" i="25"/>
  <c r="Z28" i="25"/>
  <c r="Y28" i="25"/>
  <c r="X28" i="25"/>
  <c r="W28" i="25"/>
  <c r="U28" i="25"/>
  <c r="T28" i="25"/>
  <c r="AL27" i="25"/>
  <c r="AK27" i="25"/>
  <c r="AJ27" i="25"/>
  <c r="AI27" i="25"/>
  <c r="AG27" i="25"/>
  <c r="AF27" i="25"/>
  <c r="Z27" i="25"/>
  <c r="Y27" i="25"/>
  <c r="X27" i="25"/>
  <c r="W27" i="25"/>
  <c r="U27" i="25"/>
  <c r="T27" i="25"/>
  <c r="AL26" i="25"/>
  <c r="AK26" i="25"/>
  <c r="AJ26" i="25"/>
  <c r="AI26" i="25"/>
  <c r="AG26" i="25"/>
  <c r="AF26" i="25"/>
  <c r="Z26" i="25"/>
  <c r="Y26" i="25"/>
  <c r="X26" i="25"/>
  <c r="W26" i="25"/>
  <c r="U26" i="25"/>
  <c r="T26" i="25"/>
  <c r="AL25" i="25"/>
  <c r="AK25" i="25"/>
  <c r="AJ25" i="25"/>
  <c r="AI25" i="25"/>
  <c r="AG25" i="25"/>
  <c r="AF25" i="25"/>
  <c r="Z25" i="25"/>
  <c r="Y25" i="25"/>
  <c r="X25" i="25"/>
  <c r="W25" i="25"/>
  <c r="U25" i="25"/>
  <c r="T25" i="25"/>
  <c r="AL24" i="25"/>
  <c r="AK24" i="25"/>
  <c r="AJ24" i="25"/>
  <c r="AI24" i="25"/>
  <c r="AG24" i="25"/>
  <c r="AF24" i="25"/>
  <c r="Z24" i="25"/>
  <c r="Y24" i="25"/>
  <c r="X24" i="25"/>
  <c r="W24" i="25"/>
  <c r="U24" i="25"/>
  <c r="T24" i="25"/>
  <c r="AL23" i="25"/>
  <c r="AK23" i="25"/>
  <c r="AJ23" i="25"/>
  <c r="AI23" i="25"/>
  <c r="AG23" i="25"/>
  <c r="AF23" i="25"/>
  <c r="Z23" i="25"/>
  <c r="Y23" i="25"/>
  <c r="X23" i="25"/>
  <c r="W23" i="25"/>
  <c r="U23" i="25"/>
  <c r="T23" i="25"/>
  <c r="AL22" i="25"/>
  <c r="AK22" i="25"/>
  <c r="AJ22" i="25"/>
  <c r="AI22" i="25"/>
  <c r="AG22" i="25"/>
  <c r="AF22" i="25"/>
  <c r="Z22" i="25"/>
  <c r="Y22" i="25"/>
  <c r="X22" i="25"/>
  <c r="W22" i="25"/>
  <c r="U22" i="25"/>
  <c r="T22" i="25"/>
  <c r="AL21" i="25"/>
  <c r="AK21" i="25"/>
  <c r="AJ21" i="25"/>
  <c r="AI21" i="25"/>
  <c r="AG21" i="25"/>
  <c r="AF21" i="25"/>
  <c r="Z21" i="25"/>
  <c r="Y21" i="25"/>
  <c r="X21" i="25"/>
  <c r="W21" i="25"/>
  <c r="U21" i="25"/>
  <c r="T21" i="25"/>
  <c r="AL20" i="25"/>
  <c r="AK20" i="25"/>
  <c r="AJ20" i="25"/>
  <c r="AI20" i="25"/>
  <c r="AG20" i="25"/>
  <c r="AF20" i="25"/>
  <c r="Z20" i="25"/>
  <c r="Y20" i="25"/>
  <c r="X20" i="25"/>
  <c r="W20" i="25"/>
  <c r="U20" i="25"/>
  <c r="T20" i="25"/>
  <c r="AL19" i="25"/>
  <c r="AK19" i="25"/>
  <c r="AJ19" i="25"/>
  <c r="AI19" i="25"/>
  <c r="AG19" i="25"/>
  <c r="AF19" i="25"/>
  <c r="Z19" i="25"/>
  <c r="Y19" i="25"/>
  <c r="X19" i="25"/>
  <c r="W19" i="25"/>
  <c r="U19" i="25"/>
  <c r="T19" i="25"/>
  <c r="AL18" i="25"/>
  <c r="AK18" i="25"/>
  <c r="AJ18" i="25"/>
  <c r="AI18" i="25"/>
  <c r="AG18" i="25"/>
  <c r="AF18" i="25"/>
  <c r="Z18" i="25"/>
  <c r="Y18" i="25"/>
  <c r="X18" i="25"/>
  <c r="W18" i="25"/>
  <c r="U18" i="25"/>
  <c r="T18" i="25"/>
  <c r="AL17" i="25"/>
  <c r="AK17" i="25"/>
  <c r="AJ17" i="25"/>
  <c r="AI17" i="25"/>
  <c r="AG17" i="25"/>
  <c r="AF17" i="25"/>
  <c r="Z17" i="25"/>
  <c r="Y17" i="25"/>
  <c r="X17" i="25"/>
  <c r="W17" i="25"/>
  <c r="U17" i="25"/>
  <c r="T17" i="25"/>
  <c r="AD54" i="25"/>
  <c r="AD53" i="25"/>
  <c r="AD52" i="25"/>
  <c r="AD51" i="25"/>
  <c r="AD50" i="25"/>
  <c r="AD49" i="25"/>
  <c r="AD48" i="25"/>
  <c r="AD47" i="25"/>
  <c r="AD46" i="25"/>
  <c r="AD45" i="25"/>
  <c r="AD44" i="25"/>
  <c r="AD43" i="25"/>
  <c r="AD42" i="25"/>
  <c r="AD41" i="25"/>
  <c r="AD40" i="25"/>
  <c r="AD39" i="25"/>
  <c r="AD38" i="25"/>
  <c r="AD37" i="25"/>
  <c r="AD36" i="25"/>
  <c r="AD35" i="25"/>
  <c r="AD34" i="25"/>
  <c r="AD33" i="25"/>
  <c r="AD32" i="25"/>
  <c r="AD31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W11" i="25"/>
  <c r="J6" i="25"/>
  <c r="AS21" i="27"/>
  <c r="P16" i="26" s="1"/>
  <c r="BE59" i="27"/>
  <c r="AB54" i="26" s="1"/>
  <c r="BE58" i="27"/>
  <c r="AB53" i="26" s="1"/>
  <c r="BE57" i="27"/>
  <c r="AB52" i="26" s="1"/>
  <c r="BE56" i="27"/>
  <c r="AB51" i="26" s="1"/>
  <c r="BE55" i="27"/>
  <c r="AB50" i="26" s="1"/>
  <c r="BE54" i="27"/>
  <c r="AB49" i="26" s="1"/>
  <c r="BE53" i="27"/>
  <c r="AB48" i="26" s="1"/>
  <c r="BE52" i="27"/>
  <c r="AB47" i="26" s="1"/>
  <c r="BE51" i="27"/>
  <c r="AB46" i="26" s="1"/>
  <c r="BE50" i="27"/>
  <c r="AB45" i="26" s="1"/>
  <c r="BE49" i="27"/>
  <c r="AB44" i="26" s="1"/>
  <c r="BE48" i="27"/>
  <c r="AB43" i="26" s="1"/>
  <c r="BE47" i="27"/>
  <c r="AB42" i="26" s="1"/>
  <c r="BE46" i="27"/>
  <c r="AB41" i="26" s="1"/>
  <c r="BE45" i="27"/>
  <c r="AB40" i="26" s="1"/>
  <c r="BE44" i="27"/>
  <c r="AB39" i="26" s="1"/>
  <c r="BE43" i="27"/>
  <c r="AB38" i="26" s="1"/>
  <c r="BE42" i="27"/>
  <c r="AB37" i="26" s="1"/>
  <c r="BE41" i="27"/>
  <c r="AB36" i="26" s="1"/>
  <c r="BE40" i="27"/>
  <c r="AB35" i="26" s="1"/>
  <c r="BE39" i="27"/>
  <c r="AB34" i="26" s="1"/>
  <c r="BE38" i="27"/>
  <c r="AB33" i="26" s="1"/>
  <c r="BE37" i="27"/>
  <c r="AB32" i="26" s="1"/>
  <c r="BE36" i="27"/>
  <c r="AB31" i="26" s="1"/>
  <c r="BE35" i="27"/>
  <c r="AB30" i="26" s="1"/>
  <c r="BE34" i="27"/>
  <c r="AB29" i="26" s="1"/>
  <c r="BE33" i="27"/>
  <c r="AB28" i="26" s="1"/>
  <c r="BE32" i="27"/>
  <c r="AB27" i="26" s="1"/>
  <c r="BE31" i="27"/>
  <c r="AB26" i="26" s="1"/>
  <c r="BE30" i="27"/>
  <c r="AB25" i="26" s="1"/>
  <c r="BE29" i="27"/>
  <c r="AB24" i="26" s="1"/>
  <c r="BE28" i="27"/>
  <c r="AB23" i="26" s="1"/>
  <c r="BE27" i="27"/>
  <c r="AB22" i="26" s="1"/>
  <c r="BE26" i="27"/>
  <c r="AB21" i="26" s="1"/>
  <c r="BE25" i="27"/>
  <c r="AB20" i="26" s="1"/>
  <c r="BE24" i="27"/>
  <c r="AB19" i="26" s="1"/>
  <c r="BE23" i="27"/>
  <c r="AB18" i="26" s="1"/>
  <c r="BE22" i="27"/>
  <c r="AB17" i="26" s="1"/>
  <c r="T118" i="6"/>
  <c r="R95" i="6"/>
  <c r="F15" i="6" s="1"/>
  <c r="G10" i="25" s="1"/>
  <c r="BE59" i="6"/>
  <c r="AB54" i="25" s="1"/>
  <c r="AS59" i="6"/>
  <c r="P54" i="25" s="1"/>
  <c r="BE58" i="6"/>
  <c r="AB53" i="25" s="1"/>
  <c r="AS58" i="6"/>
  <c r="P53" i="25" s="1"/>
  <c r="BE57" i="6"/>
  <c r="AB52" i="25" s="1"/>
  <c r="AS57" i="6"/>
  <c r="P52" i="25" s="1"/>
  <c r="BE56" i="6"/>
  <c r="AB51" i="25" s="1"/>
  <c r="AS56" i="6"/>
  <c r="P51" i="25" s="1"/>
  <c r="BE55" i="6"/>
  <c r="AB50" i="25" s="1"/>
  <c r="AS55" i="6"/>
  <c r="P50" i="25" s="1"/>
  <c r="BE54" i="6"/>
  <c r="AB49" i="25" s="1"/>
  <c r="AS54" i="6"/>
  <c r="P49" i="25" s="1"/>
  <c r="BE53" i="6"/>
  <c r="AB48" i="25" s="1"/>
  <c r="AS53" i="6"/>
  <c r="P48" i="25" s="1"/>
  <c r="BE52" i="6"/>
  <c r="AB47" i="25" s="1"/>
  <c r="AS52" i="6"/>
  <c r="P47" i="25" s="1"/>
  <c r="BE51" i="6"/>
  <c r="AB46" i="25" s="1"/>
  <c r="AS51" i="6"/>
  <c r="P46" i="25" s="1"/>
  <c r="BE50" i="6"/>
  <c r="AB45" i="25" s="1"/>
  <c r="AS50" i="6"/>
  <c r="P45" i="25" s="1"/>
  <c r="BE49" i="6"/>
  <c r="AB44" i="25" s="1"/>
  <c r="AS49" i="6"/>
  <c r="P44" i="25" s="1"/>
  <c r="BE48" i="6"/>
  <c r="AB43" i="25" s="1"/>
  <c r="AS48" i="6"/>
  <c r="P43" i="25" s="1"/>
  <c r="BE47" i="6"/>
  <c r="AB42" i="25" s="1"/>
  <c r="AS47" i="6"/>
  <c r="P42" i="25" s="1"/>
  <c r="BE46" i="6"/>
  <c r="AB41" i="25" s="1"/>
  <c r="AS46" i="6"/>
  <c r="P41" i="25" s="1"/>
  <c r="BE45" i="6"/>
  <c r="AB40" i="25" s="1"/>
  <c r="AS45" i="6"/>
  <c r="P40" i="25" s="1"/>
  <c r="BE44" i="6"/>
  <c r="AB39" i="25" s="1"/>
  <c r="AS44" i="6"/>
  <c r="P39" i="25" s="1"/>
  <c r="BE43" i="6"/>
  <c r="AB38" i="25" s="1"/>
  <c r="AS43" i="6"/>
  <c r="P38" i="25" s="1"/>
  <c r="BE42" i="6"/>
  <c r="AB37" i="25" s="1"/>
  <c r="AS42" i="6"/>
  <c r="P37" i="25" s="1"/>
  <c r="BE41" i="6"/>
  <c r="AB36" i="25" s="1"/>
  <c r="AS41" i="6"/>
  <c r="P36" i="25" s="1"/>
  <c r="BE40" i="6"/>
  <c r="AB35" i="25" s="1"/>
  <c r="AS40" i="6"/>
  <c r="P35" i="25" s="1"/>
  <c r="BE39" i="6"/>
  <c r="AB34" i="25" s="1"/>
  <c r="AS39" i="6"/>
  <c r="P34" i="25" s="1"/>
  <c r="BE38" i="6"/>
  <c r="AB33" i="25" s="1"/>
  <c r="AS38" i="6"/>
  <c r="P33" i="25" s="1"/>
  <c r="BE37" i="6"/>
  <c r="AB32" i="25" s="1"/>
  <c r="AS37" i="6"/>
  <c r="P32" i="25" s="1"/>
  <c r="BE36" i="6"/>
  <c r="AB31" i="25" s="1"/>
  <c r="AS36" i="6"/>
  <c r="P31" i="25" s="1"/>
  <c r="Q36" i="6"/>
  <c r="BE35" i="6"/>
  <c r="AB30" i="25" s="1"/>
  <c r="AS35" i="6"/>
  <c r="P30" i="25" s="1"/>
  <c r="BE34" i="6"/>
  <c r="AB29" i="25" s="1"/>
  <c r="AS34" i="6"/>
  <c r="P29" i="25" s="1"/>
  <c r="F34" i="6"/>
  <c r="BE21" i="6" s="1"/>
  <c r="BE33" i="6"/>
  <c r="AB28" i="25" s="1"/>
  <c r="AS33" i="6"/>
  <c r="P28" i="25" s="1"/>
  <c r="Q33" i="6"/>
  <c r="BE32" i="6"/>
  <c r="AB27" i="25" s="1"/>
  <c r="AS32" i="6"/>
  <c r="P27" i="25" s="1"/>
  <c r="BE31" i="6"/>
  <c r="AB26" i="25" s="1"/>
  <c r="AS31" i="6"/>
  <c r="P26" i="25" s="1"/>
  <c r="BE30" i="6"/>
  <c r="AB25" i="25" s="1"/>
  <c r="AS30" i="6"/>
  <c r="P25" i="25" s="1"/>
  <c r="BE29" i="6"/>
  <c r="AB24" i="25" s="1"/>
  <c r="AS29" i="6"/>
  <c r="P24" i="25" s="1"/>
  <c r="BE28" i="6"/>
  <c r="AB23" i="25" s="1"/>
  <c r="AS28" i="6"/>
  <c r="P23" i="25" s="1"/>
  <c r="BE27" i="6"/>
  <c r="AB22" i="25" s="1"/>
  <c r="AS27" i="6"/>
  <c r="P22" i="25" s="1"/>
  <c r="T27" i="6"/>
  <c r="Q34" i="6" s="1"/>
  <c r="BE26" i="6"/>
  <c r="AB21" i="25" s="1"/>
  <c r="AS26" i="6"/>
  <c r="P21" i="25" s="1"/>
  <c r="T26" i="6"/>
  <c r="Q40" i="6" s="1"/>
  <c r="BE25" i="6"/>
  <c r="AB20" i="25" s="1"/>
  <c r="AS25" i="6"/>
  <c r="P20" i="25" s="1"/>
  <c r="T25" i="6"/>
  <c r="BE24" i="6"/>
  <c r="AB19" i="25" s="1"/>
  <c r="AS24" i="6"/>
  <c r="P19" i="25" s="1"/>
  <c r="T24" i="6"/>
  <c r="AY7" i="6" s="1"/>
  <c r="BJ7" i="6" s="1"/>
  <c r="BE23" i="6"/>
  <c r="AB18" i="25" s="1"/>
  <c r="AS23" i="6"/>
  <c r="P18" i="25" s="1"/>
  <c r="T23" i="6"/>
  <c r="C6" i="25" s="1"/>
  <c r="U3" i="25" s="1"/>
  <c r="AG3" i="25" s="1"/>
  <c r="BE22" i="6"/>
  <c r="AB17" i="25" s="1"/>
  <c r="AS22" i="6"/>
  <c r="P17" i="25" s="1"/>
  <c r="J22" i="6"/>
  <c r="Q68" i="6" s="1"/>
  <c r="Q69" i="6" s="1"/>
  <c r="BJ8" i="6"/>
  <c r="BH8" i="6"/>
  <c r="AY8" i="6"/>
  <c r="U5" i="25" s="1"/>
  <c r="AG5" i="25" s="1"/>
  <c r="AW8" i="6"/>
  <c r="S5" i="25" s="1"/>
  <c r="AE5" i="25" s="1"/>
  <c r="R6" i="6"/>
  <c r="R5" i="6"/>
  <c r="BJ7" i="27"/>
  <c r="AG5" i="26" s="1"/>
  <c r="BH7" i="27"/>
  <c r="AE5" i="26"/>
  <c r="AY7" i="27"/>
  <c r="U5" i="26" s="1"/>
  <c r="AW7" i="27"/>
  <c r="S5" i="26" s="1"/>
  <c r="T26" i="27"/>
  <c r="Q40" i="27" s="1"/>
  <c r="R6" i="27"/>
  <c r="R5" i="27"/>
  <c r="C2" i="28"/>
  <c r="C3" i="28"/>
  <c r="C4" i="28"/>
  <c r="C5" i="28"/>
  <c r="C6" i="28"/>
  <c r="C7" i="28"/>
  <c r="C8" i="28"/>
  <c r="C9" i="28"/>
  <c r="C10" i="28"/>
  <c r="G12" i="26"/>
  <c r="R17" i="26"/>
  <c r="S17" i="26"/>
  <c r="V17" i="26"/>
  <c r="AC17" i="26"/>
  <c r="AE17" i="26"/>
  <c r="AH17" i="26"/>
  <c r="R18" i="26"/>
  <c r="S18" i="26"/>
  <c r="V18" i="26"/>
  <c r="AC18" i="26"/>
  <c r="AE18" i="26"/>
  <c r="AH18" i="26"/>
  <c r="R19" i="26"/>
  <c r="S19" i="26"/>
  <c r="V19" i="26"/>
  <c r="AC19" i="26"/>
  <c r="AE19" i="26"/>
  <c r="AH19" i="26"/>
  <c r="R20" i="26"/>
  <c r="S20" i="26"/>
  <c r="V20" i="26"/>
  <c r="AC20" i="26"/>
  <c r="AE20" i="26"/>
  <c r="AH20" i="26"/>
  <c r="R21" i="26"/>
  <c r="S21" i="26"/>
  <c r="V21" i="26"/>
  <c r="AC21" i="26"/>
  <c r="AE21" i="26"/>
  <c r="AH21" i="26"/>
  <c r="R22" i="26"/>
  <c r="S22" i="26"/>
  <c r="V22" i="26"/>
  <c r="AC22" i="26"/>
  <c r="AE22" i="26"/>
  <c r="AH22" i="26"/>
  <c r="R23" i="26"/>
  <c r="S23" i="26"/>
  <c r="V23" i="26"/>
  <c r="AC23" i="26"/>
  <c r="AE23" i="26"/>
  <c r="AH23" i="26"/>
  <c r="R24" i="26"/>
  <c r="S24" i="26"/>
  <c r="V24" i="26"/>
  <c r="AC24" i="26"/>
  <c r="AE24" i="26"/>
  <c r="AH24" i="26"/>
  <c r="R25" i="26"/>
  <c r="S25" i="26"/>
  <c r="V25" i="26"/>
  <c r="AC25" i="26"/>
  <c r="AE25" i="26"/>
  <c r="AH25" i="26"/>
  <c r="R26" i="26"/>
  <c r="S26" i="26"/>
  <c r="V26" i="26"/>
  <c r="AC26" i="26"/>
  <c r="AE26" i="26"/>
  <c r="AH26" i="26"/>
  <c r="R27" i="26"/>
  <c r="S27" i="26"/>
  <c r="V27" i="26"/>
  <c r="AC27" i="26"/>
  <c r="AE27" i="26"/>
  <c r="AH27" i="26"/>
  <c r="R28" i="26"/>
  <c r="S28" i="26"/>
  <c r="V28" i="26"/>
  <c r="AC28" i="26"/>
  <c r="AE28" i="26"/>
  <c r="AH28" i="26"/>
  <c r="R29" i="26"/>
  <c r="S29" i="26"/>
  <c r="V29" i="26"/>
  <c r="AC29" i="26"/>
  <c r="AE29" i="26"/>
  <c r="AH29" i="26"/>
  <c r="R30" i="26"/>
  <c r="S30" i="26"/>
  <c r="V30" i="26"/>
  <c r="AC30" i="26"/>
  <c r="AE30" i="26"/>
  <c r="AH30" i="26"/>
  <c r="R31" i="26"/>
  <c r="S31" i="26"/>
  <c r="V31" i="26"/>
  <c r="AC31" i="26"/>
  <c r="AE31" i="26"/>
  <c r="AH31" i="26"/>
  <c r="R32" i="26"/>
  <c r="S32" i="26"/>
  <c r="V32" i="26"/>
  <c r="AC32" i="26"/>
  <c r="AE32" i="26"/>
  <c r="AH32" i="26"/>
  <c r="R33" i="26"/>
  <c r="S33" i="26"/>
  <c r="V33" i="26"/>
  <c r="AC33" i="26"/>
  <c r="AE33" i="26"/>
  <c r="AH33" i="26"/>
  <c r="R34" i="26"/>
  <c r="S34" i="26"/>
  <c r="V34" i="26"/>
  <c r="AC34" i="26"/>
  <c r="AE34" i="26"/>
  <c r="AH34" i="26"/>
  <c r="R35" i="26"/>
  <c r="S35" i="26"/>
  <c r="V35" i="26"/>
  <c r="AC35" i="26"/>
  <c r="AE35" i="26"/>
  <c r="AH35" i="26"/>
  <c r="R36" i="26"/>
  <c r="S36" i="26"/>
  <c r="V36" i="26"/>
  <c r="AC36" i="26"/>
  <c r="AE36" i="26"/>
  <c r="AH36" i="26"/>
  <c r="R37" i="26"/>
  <c r="S37" i="26"/>
  <c r="V37" i="26"/>
  <c r="AC37" i="26"/>
  <c r="AE37" i="26"/>
  <c r="AH37" i="26"/>
  <c r="R38" i="26"/>
  <c r="S38" i="26"/>
  <c r="V38" i="26"/>
  <c r="AC38" i="26"/>
  <c r="AE38" i="26"/>
  <c r="AH38" i="26"/>
  <c r="R39" i="26"/>
  <c r="S39" i="26"/>
  <c r="V39" i="26"/>
  <c r="AC39" i="26"/>
  <c r="AE39" i="26"/>
  <c r="AH39" i="26"/>
  <c r="R40" i="26"/>
  <c r="S40" i="26"/>
  <c r="V40" i="26"/>
  <c r="AC40" i="26"/>
  <c r="AE40" i="26"/>
  <c r="AH40" i="26"/>
  <c r="R41" i="26"/>
  <c r="S41" i="26"/>
  <c r="V41" i="26"/>
  <c r="AC41" i="26"/>
  <c r="AE41" i="26"/>
  <c r="AH41" i="26"/>
  <c r="R42" i="26"/>
  <c r="S42" i="26"/>
  <c r="V42" i="26"/>
  <c r="AC42" i="26"/>
  <c r="AE42" i="26"/>
  <c r="AH42" i="26"/>
  <c r="R43" i="26"/>
  <c r="S43" i="26"/>
  <c r="V43" i="26"/>
  <c r="AC43" i="26"/>
  <c r="AE43" i="26"/>
  <c r="AH43" i="26"/>
  <c r="R44" i="26"/>
  <c r="S44" i="26"/>
  <c r="V44" i="26"/>
  <c r="AC44" i="26"/>
  <c r="AE44" i="26"/>
  <c r="AH44" i="26"/>
  <c r="R45" i="26"/>
  <c r="S45" i="26"/>
  <c r="V45" i="26"/>
  <c r="AC45" i="26"/>
  <c r="AE45" i="26"/>
  <c r="AH45" i="26"/>
  <c r="R46" i="26"/>
  <c r="S46" i="26"/>
  <c r="V46" i="26"/>
  <c r="AC46" i="26"/>
  <c r="AE46" i="26"/>
  <c r="AH46" i="26"/>
  <c r="R47" i="26"/>
  <c r="S47" i="26"/>
  <c r="V47" i="26"/>
  <c r="AC47" i="26"/>
  <c r="AE47" i="26"/>
  <c r="AH47" i="26"/>
  <c r="R48" i="26"/>
  <c r="S48" i="26"/>
  <c r="V48" i="26"/>
  <c r="AC48" i="26"/>
  <c r="AE48" i="26"/>
  <c r="AH48" i="26"/>
  <c r="R49" i="26"/>
  <c r="S49" i="26"/>
  <c r="V49" i="26"/>
  <c r="AC49" i="26"/>
  <c r="AE49" i="26"/>
  <c r="AH49" i="26"/>
  <c r="R50" i="26"/>
  <c r="S50" i="26"/>
  <c r="V50" i="26"/>
  <c r="AC50" i="26"/>
  <c r="AE50" i="26"/>
  <c r="AH50" i="26"/>
  <c r="R51" i="26"/>
  <c r="S51" i="26"/>
  <c r="V51" i="26"/>
  <c r="AC51" i="26"/>
  <c r="AE51" i="26"/>
  <c r="AH51" i="26"/>
  <c r="R52" i="26"/>
  <c r="S52" i="26"/>
  <c r="V52" i="26"/>
  <c r="AC52" i="26"/>
  <c r="AE52" i="26"/>
  <c r="AH52" i="26"/>
  <c r="R53" i="26"/>
  <c r="S53" i="26"/>
  <c r="V53" i="26"/>
  <c r="AC53" i="26"/>
  <c r="AE53" i="26"/>
  <c r="AH53" i="26"/>
  <c r="R54" i="26"/>
  <c r="S54" i="26"/>
  <c r="V54" i="26"/>
  <c r="AC54" i="26"/>
  <c r="AE54" i="26"/>
  <c r="AH54" i="26"/>
  <c r="J22" i="27"/>
  <c r="BK13" i="27" s="1"/>
  <c r="AS22" i="27"/>
  <c r="P17" i="26" s="1"/>
  <c r="T23" i="27"/>
  <c r="C6" i="26" s="1"/>
  <c r="AS23" i="27"/>
  <c r="P18" i="26" s="1"/>
  <c r="T24" i="27"/>
  <c r="AS24" i="27"/>
  <c r="P19" i="26" s="1"/>
  <c r="T25" i="27"/>
  <c r="P20" i="26"/>
  <c r="AS26" i="27"/>
  <c r="P21" i="26" s="1"/>
  <c r="T27" i="27"/>
  <c r="Q34" i="27" s="1"/>
  <c r="AS27" i="27"/>
  <c r="P22" i="26" s="1"/>
  <c r="AS28" i="27"/>
  <c r="P23" i="26" s="1"/>
  <c r="AS29" i="27"/>
  <c r="P24" i="26" s="1"/>
  <c r="AS30" i="27"/>
  <c r="P25" i="26" s="1"/>
  <c r="AS31" i="27"/>
  <c r="P26" i="26" s="1"/>
  <c r="AS32" i="27"/>
  <c r="P27" i="26" s="1"/>
  <c r="AS33" i="27"/>
  <c r="P28" i="26" s="1"/>
  <c r="AS34" i="27"/>
  <c r="P29" i="26" s="1"/>
  <c r="AS35" i="27"/>
  <c r="P30" i="26" s="1"/>
  <c r="Q36" i="27"/>
  <c r="AS36" i="27"/>
  <c r="P31" i="26" s="1"/>
  <c r="AS37" i="27"/>
  <c r="P32" i="26" s="1"/>
  <c r="AS38" i="27"/>
  <c r="P33" i="26" s="1"/>
  <c r="AS39" i="27"/>
  <c r="P34" i="26" s="1"/>
  <c r="AS40" i="27"/>
  <c r="P35" i="26" s="1"/>
  <c r="AS41" i="27"/>
  <c r="P36" i="26" s="1"/>
  <c r="AS42" i="27"/>
  <c r="P37" i="26" s="1"/>
  <c r="AS43" i="27"/>
  <c r="P38" i="26" s="1"/>
  <c r="AS44" i="27"/>
  <c r="P39" i="26" s="1"/>
  <c r="AS45" i="27"/>
  <c r="P40" i="26" s="1"/>
  <c r="AS46" i="27"/>
  <c r="P41" i="26" s="1"/>
  <c r="AS47" i="27"/>
  <c r="P42" i="26" s="1"/>
  <c r="AS48" i="27"/>
  <c r="P43" i="26" s="1"/>
  <c r="AS49" i="27"/>
  <c r="P44" i="26" s="1"/>
  <c r="AS50" i="27"/>
  <c r="P45" i="26" s="1"/>
  <c r="AS51" i="27"/>
  <c r="P46" i="26" s="1"/>
  <c r="AS52" i="27"/>
  <c r="P47" i="26" s="1"/>
  <c r="AS53" i="27"/>
  <c r="P48" i="26" s="1"/>
  <c r="AS54" i="27"/>
  <c r="P49" i="26" s="1"/>
  <c r="AS55" i="27"/>
  <c r="P50" i="26" s="1"/>
  <c r="AS56" i="27"/>
  <c r="P51" i="26" s="1"/>
  <c r="AS57" i="27"/>
  <c r="P52" i="26" s="1"/>
  <c r="AS58" i="27"/>
  <c r="P53" i="26" s="1"/>
  <c r="AS59" i="27"/>
  <c r="P54" i="26" s="1"/>
  <c r="Q68" i="27"/>
  <c r="Q69" i="27" s="1"/>
  <c r="R95" i="27"/>
  <c r="F15" i="27" s="1"/>
  <c r="G10" i="26" s="1"/>
  <c r="T117" i="27"/>
  <c r="BX177" i="27"/>
  <c r="P16" i="25"/>
  <c r="Q16" i="25" s="1"/>
  <c r="AC16" i="25"/>
  <c r="AE16" i="25"/>
  <c r="AF16" i="25"/>
  <c r="AI16" i="25"/>
  <c r="AK16" i="25"/>
  <c r="AL16" i="25"/>
  <c r="R17" i="25"/>
  <c r="S17" i="25"/>
  <c r="V17" i="25"/>
  <c r="AC17" i="25"/>
  <c r="AE17" i="25"/>
  <c r="AH17" i="25"/>
  <c r="R18" i="25"/>
  <c r="S18" i="25"/>
  <c r="V18" i="25"/>
  <c r="AC18" i="25"/>
  <c r="AE18" i="25"/>
  <c r="AH18" i="25"/>
  <c r="R19" i="25"/>
  <c r="S19" i="25"/>
  <c r="V19" i="25"/>
  <c r="AC19" i="25"/>
  <c r="AE19" i="25"/>
  <c r="AH19" i="25"/>
  <c r="R20" i="25"/>
  <c r="S20" i="25"/>
  <c r="V20" i="25"/>
  <c r="AC20" i="25"/>
  <c r="AE20" i="25"/>
  <c r="AH20" i="25"/>
  <c r="R21" i="25"/>
  <c r="S21" i="25"/>
  <c r="V21" i="25"/>
  <c r="AC21" i="25"/>
  <c r="AE21" i="25"/>
  <c r="AH21" i="25"/>
  <c r="R22" i="25"/>
  <c r="S22" i="25"/>
  <c r="V22" i="25"/>
  <c r="AC22" i="25"/>
  <c r="AE22" i="25"/>
  <c r="AH22" i="25"/>
  <c r="R23" i="25"/>
  <c r="S23" i="25"/>
  <c r="V23" i="25"/>
  <c r="AC23" i="25"/>
  <c r="AE23" i="25"/>
  <c r="AH23" i="25"/>
  <c r="R24" i="25"/>
  <c r="S24" i="25"/>
  <c r="V24" i="25"/>
  <c r="AC24" i="25"/>
  <c r="AE24" i="25"/>
  <c r="AH24" i="25"/>
  <c r="R25" i="25"/>
  <c r="S25" i="25"/>
  <c r="V25" i="25"/>
  <c r="AC25" i="25"/>
  <c r="AE25" i="25"/>
  <c r="AH25" i="25"/>
  <c r="R26" i="25"/>
  <c r="AH5" i="25" s="1"/>
  <c r="S26" i="25"/>
  <c r="V26" i="25"/>
  <c r="AC26" i="25"/>
  <c r="AE26" i="25"/>
  <c r="AH26" i="25"/>
  <c r="R27" i="25"/>
  <c r="S27" i="25"/>
  <c r="V27" i="25"/>
  <c r="AC27" i="25"/>
  <c r="AE27" i="25"/>
  <c r="AH27" i="25"/>
  <c r="R28" i="25"/>
  <c r="S28" i="25"/>
  <c r="V28" i="25"/>
  <c r="AC28" i="25"/>
  <c r="AE28" i="25"/>
  <c r="AH28" i="25"/>
  <c r="R29" i="25"/>
  <c r="S29" i="25"/>
  <c r="V29" i="25"/>
  <c r="AC29" i="25"/>
  <c r="AE29" i="25"/>
  <c r="AH29" i="25"/>
  <c r="R30" i="25"/>
  <c r="S30" i="25"/>
  <c r="V30" i="25"/>
  <c r="AC30" i="25"/>
  <c r="AE30" i="25"/>
  <c r="AH30" i="25"/>
  <c r="R31" i="25"/>
  <c r="S31" i="25"/>
  <c r="V31" i="25"/>
  <c r="AC31" i="25"/>
  <c r="AE31" i="25"/>
  <c r="AH31" i="25"/>
  <c r="R32" i="25"/>
  <c r="S32" i="25"/>
  <c r="V32" i="25"/>
  <c r="AC32" i="25"/>
  <c r="AE32" i="25"/>
  <c r="AH32" i="25"/>
  <c r="R33" i="25"/>
  <c r="S33" i="25"/>
  <c r="V33" i="25"/>
  <c r="AC33" i="25"/>
  <c r="AE33" i="25"/>
  <c r="AH33" i="25"/>
  <c r="R34" i="25"/>
  <c r="S34" i="25"/>
  <c r="V34" i="25"/>
  <c r="AC34" i="25"/>
  <c r="AE34" i="25"/>
  <c r="AH34" i="25"/>
  <c r="R35" i="25"/>
  <c r="S35" i="25"/>
  <c r="V35" i="25"/>
  <c r="AC35" i="25"/>
  <c r="AE35" i="25"/>
  <c r="AH35" i="25"/>
  <c r="R36" i="25"/>
  <c r="S36" i="25"/>
  <c r="V36" i="25"/>
  <c r="AC36" i="25"/>
  <c r="AE36" i="25"/>
  <c r="AH36" i="25"/>
  <c r="R37" i="25"/>
  <c r="S37" i="25"/>
  <c r="V37" i="25"/>
  <c r="AC37" i="25"/>
  <c r="AE37" i="25"/>
  <c r="AH37" i="25"/>
  <c r="R38" i="25"/>
  <c r="S38" i="25"/>
  <c r="V38" i="25"/>
  <c r="AC38" i="25"/>
  <c r="AE38" i="25"/>
  <c r="AH38" i="25"/>
  <c r="R39" i="25"/>
  <c r="S39" i="25"/>
  <c r="V39" i="25"/>
  <c r="AC39" i="25"/>
  <c r="AE39" i="25"/>
  <c r="AH39" i="25"/>
  <c r="R40" i="25"/>
  <c r="S40" i="25"/>
  <c r="V40" i="25"/>
  <c r="AC40" i="25"/>
  <c r="AE40" i="25"/>
  <c r="AH40" i="25"/>
  <c r="R41" i="25"/>
  <c r="S41" i="25"/>
  <c r="V41" i="25"/>
  <c r="AC41" i="25"/>
  <c r="AE41" i="25"/>
  <c r="AH41" i="25"/>
  <c r="R42" i="25"/>
  <c r="S42" i="25"/>
  <c r="V42" i="25"/>
  <c r="AC42" i="25"/>
  <c r="AE42" i="25"/>
  <c r="AH42" i="25"/>
  <c r="R43" i="25"/>
  <c r="S43" i="25"/>
  <c r="V43" i="25"/>
  <c r="AC43" i="25"/>
  <c r="AE43" i="25"/>
  <c r="AH43" i="25"/>
  <c r="R44" i="25"/>
  <c r="S44" i="25"/>
  <c r="V44" i="25"/>
  <c r="AC44" i="25"/>
  <c r="AE44" i="25"/>
  <c r="AH44" i="25"/>
  <c r="R45" i="25"/>
  <c r="S45" i="25"/>
  <c r="V45" i="25"/>
  <c r="AC45" i="25"/>
  <c r="AE45" i="25"/>
  <c r="AH45" i="25"/>
  <c r="R46" i="25"/>
  <c r="S46" i="25"/>
  <c r="V46" i="25"/>
  <c r="AC46" i="25"/>
  <c r="AE46" i="25"/>
  <c r="AH46" i="25"/>
  <c r="R47" i="25"/>
  <c r="S47" i="25"/>
  <c r="V47" i="25"/>
  <c r="AC47" i="25"/>
  <c r="AE47" i="25"/>
  <c r="AH47" i="25"/>
  <c r="R48" i="25"/>
  <c r="S48" i="25"/>
  <c r="V48" i="25"/>
  <c r="AC48" i="25"/>
  <c r="AE48" i="25"/>
  <c r="AH48" i="25"/>
  <c r="R49" i="25"/>
  <c r="S49" i="25"/>
  <c r="V49" i="25"/>
  <c r="AC49" i="25"/>
  <c r="AE49" i="25"/>
  <c r="AH49" i="25"/>
  <c r="R50" i="25"/>
  <c r="S50" i="25"/>
  <c r="V50" i="25"/>
  <c r="AC50" i="25"/>
  <c r="AE50" i="25"/>
  <c r="AH50" i="25"/>
  <c r="R51" i="25"/>
  <c r="S51" i="25"/>
  <c r="V51" i="25"/>
  <c r="AC51" i="25"/>
  <c r="AE51" i="25"/>
  <c r="AH51" i="25"/>
  <c r="R52" i="25"/>
  <c r="S52" i="25"/>
  <c r="V52" i="25"/>
  <c r="AC52" i="25"/>
  <c r="AE52" i="25"/>
  <c r="AH52" i="25"/>
  <c r="R53" i="25"/>
  <c r="S53" i="25"/>
  <c r="V53" i="25"/>
  <c r="AC53" i="25"/>
  <c r="AE53" i="25"/>
  <c r="AH53" i="25"/>
  <c r="R54" i="25"/>
  <c r="S54" i="25"/>
  <c r="V54" i="25"/>
  <c r="AC54" i="25"/>
  <c r="AE54" i="25"/>
  <c r="AH54" i="25"/>
  <c r="BK14" i="6"/>
  <c r="F34" i="27"/>
  <c r="BE21" i="27" s="1"/>
  <c r="AB16" i="26" s="1"/>
  <c r="Q33" i="27"/>
  <c r="Q35" i="27" l="1"/>
  <c r="Q41" i="27"/>
  <c r="E22" i="27" s="1"/>
  <c r="E18" i="26" s="1"/>
  <c r="J18" i="26"/>
  <c r="AH11" i="26" s="1"/>
  <c r="Q37" i="6"/>
  <c r="D23" i="6" s="1"/>
  <c r="C12" i="25" s="1"/>
  <c r="U7" i="25" s="1"/>
  <c r="Q37" i="27"/>
  <c r="D23" i="27" s="1"/>
  <c r="AY9" i="27" s="1"/>
  <c r="Q31" i="27"/>
  <c r="Q47" i="27" s="1"/>
  <c r="Y5" i="27" s="1"/>
  <c r="E8" i="27"/>
  <c r="Q32" i="6"/>
  <c r="J18" i="25"/>
  <c r="AH11" i="25" s="1"/>
  <c r="Q32" i="27"/>
  <c r="C9" i="26"/>
  <c r="Q35" i="6"/>
  <c r="Q66" i="6" s="1"/>
  <c r="AY6" i="27"/>
  <c r="U4" i="26" s="1"/>
  <c r="AG4" i="26" s="1"/>
  <c r="BJ6" i="27"/>
  <c r="F29" i="26"/>
  <c r="F29" i="25"/>
  <c r="AY6" i="6"/>
  <c r="BJ6" i="6" s="1"/>
  <c r="BJ5" i="27"/>
  <c r="AY5" i="27"/>
  <c r="U3" i="26" s="1"/>
  <c r="AG3" i="26" s="1"/>
  <c r="Q67" i="27"/>
  <c r="F33" i="27" s="1"/>
  <c r="F28" i="26" s="1"/>
  <c r="Q66" i="27"/>
  <c r="C9" i="25"/>
  <c r="U4" i="25" s="1"/>
  <c r="AG4" i="25" s="1"/>
  <c r="E8" i="6"/>
  <c r="Q41" i="6"/>
  <c r="E22" i="6" s="1"/>
  <c r="E18" i="25" s="1"/>
  <c r="Q31" i="6"/>
  <c r="AG7" i="25" l="1"/>
  <c r="C12" i="26"/>
  <c r="AY10" i="6"/>
  <c r="Q39" i="27"/>
  <c r="E25" i="27" s="1"/>
  <c r="E20" i="26" s="1"/>
  <c r="W9" i="26" s="1"/>
  <c r="BJ10" i="6"/>
  <c r="Q38" i="6"/>
  <c r="E24" i="6" s="1"/>
  <c r="E19" i="25" s="1"/>
  <c r="W8" i="25" s="1"/>
  <c r="AI8" i="25" s="1"/>
  <c r="BJ9" i="27"/>
  <c r="Q39" i="6"/>
  <c r="E25" i="6" s="1"/>
  <c r="E20" i="25" s="1"/>
  <c r="W9" i="25" s="1"/>
  <c r="AI9" i="25" s="1"/>
  <c r="Q38" i="27"/>
  <c r="E24" i="27" s="1"/>
  <c r="E19" i="26" s="1"/>
  <c r="W8" i="26" s="1"/>
  <c r="Q67" i="6"/>
  <c r="F33" i="6" s="1"/>
  <c r="F28" i="25" s="1"/>
  <c r="AF10" i="25" s="1"/>
  <c r="Q47" i="6"/>
  <c r="Q49" i="6" s="1"/>
  <c r="X3" i="6" s="1"/>
  <c r="BL10" i="27"/>
  <c r="AI8" i="26"/>
  <c r="Q48" i="27"/>
  <c r="Y4" i="27" s="1"/>
  <c r="Q49" i="27"/>
  <c r="Y3" i="27" s="1"/>
  <c r="E21" i="27"/>
  <c r="AY8" i="27" s="1"/>
  <c r="Q52" i="27"/>
  <c r="AO6" i="27"/>
  <c r="AO16" i="27"/>
  <c r="AF10" i="26"/>
  <c r="BI12" i="27"/>
  <c r="Q73" i="27"/>
  <c r="J26" i="27" s="1"/>
  <c r="J22" i="26" s="1"/>
  <c r="Q72" i="27"/>
  <c r="J25" i="27" s="1"/>
  <c r="J21" i="26" s="1"/>
  <c r="J21" i="27"/>
  <c r="J17" i="26" s="1"/>
  <c r="Q71" i="27"/>
  <c r="Q70" i="27"/>
  <c r="J23" i="27" s="1"/>
  <c r="J19" i="26" s="1"/>
  <c r="Q70" i="6"/>
  <c r="J23" i="6" s="1"/>
  <c r="J19" i="25" s="1"/>
  <c r="Q72" i="6"/>
  <c r="J25" i="6" s="1"/>
  <c r="J21" i="25" s="1"/>
  <c r="Q73" i="6"/>
  <c r="J26" i="6" s="1"/>
  <c r="J22" i="25" s="1"/>
  <c r="Q71" i="6"/>
  <c r="J21" i="6"/>
  <c r="J17" i="25" s="1"/>
  <c r="U7" i="26"/>
  <c r="AG7" i="26"/>
  <c r="BA10" i="27" l="1"/>
  <c r="AP6" i="27"/>
  <c r="AP16" i="27"/>
  <c r="Q53" i="27"/>
  <c r="BL11" i="27"/>
  <c r="BA11" i="6"/>
  <c r="BL11" i="6" s="1"/>
  <c r="BA11" i="27"/>
  <c r="AI9" i="26"/>
  <c r="BA12" i="6"/>
  <c r="BL12" i="6" s="1"/>
  <c r="BI13" i="6"/>
  <c r="E21" i="6"/>
  <c r="E17" i="25" s="1"/>
  <c r="U6" i="25" s="1"/>
  <c r="AG6" i="25" s="1"/>
  <c r="Q48" i="6"/>
  <c r="X4" i="6" s="1"/>
  <c r="X5" i="6"/>
  <c r="AN16" i="6" s="1"/>
  <c r="AO16" i="6" s="1"/>
  <c r="Q53" i="6"/>
  <c r="Q52" i="6"/>
  <c r="AJ37" i="27"/>
  <c r="R105" i="27"/>
  <c r="E17" i="26"/>
  <c r="U6" i="26" s="1"/>
  <c r="E26" i="27"/>
  <c r="E21" i="26" s="1"/>
  <c r="AJ43" i="27"/>
  <c r="AO43" i="27" s="1"/>
  <c r="R109" i="27"/>
  <c r="R110" i="27"/>
  <c r="AJ44" i="27"/>
  <c r="AO44" i="27" s="1"/>
  <c r="AJ39" i="27"/>
  <c r="AO39" i="27" s="1"/>
  <c r="AJ48" i="27"/>
  <c r="AO48" i="27" s="1"/>
  <c r="AJ35" i="27"/>
  <c r="AJ31" i="27"/>
  <c r="AJ50" i="27"/>
  <c r="AO50" i="27" s="1"/>
  <c r="AJ47" i="27"/>
  <c r="AO47" i="27" s="1"/>
  <c r="AJ33" i="27"/>
  <c r="AJ36" i="27"/>
  <c r="AJ38" i="27"/>
  <c r="AJ16" i="27"/>
  <c r="AJ51" i="27"/>
  <c r="AO51" i="27" s="1"/>
  <c r="AJ34" i="27"/>
  <c r="AJ49" i="27"/>
  <c r="AO49" i="27" s="1"/>
  <c r="AJ46" i="27"/>
  <c r="AO46" i="27" s="1"/>
  <c r="AJ52" i="27"/>
  <c r="AO52" i="27" s="1"/>
  <c r="AJ30" i="27"/>
  <c r="AJ6" i="27"/>
  <c r="AJ32" i="27"/>
  <c r="AJ45" i="27"/>
  <c r="AO45" i="27" s="1"/>
  <c r="R111" i="27"/>
  <c r="R106" i="27"/>
  <c r="F36" i="27"/>
  <c r="E27" i="27"/>
  <c r="E22" i="26" s="1"/>
  <c r="R104" i="27"/>
  <c r="R102" i="27"/>
  <c r="R108" i="27"/>
  <c r="R101" i="27"/>
  <c r="R94" i="27" s="1"/>
  <c r="F14" i="27" s="1"/>
  <c r="G9" i="26" s="1"/>
  <c r="R107" i="27"/>
  <c r="R103" i="27"/>
  <c r="BJ8" i="27"/>
  <c r="BL12" i="27"/>
  <c r="AI10" i="26"/>
  <c r="Q76" i="27"/>
  <c r="J24" i="27"/>
  <c r="Q77" i="27"/>
  <c r="E36" i="27" s="1"/>
  <c r="AI51" i="6"/>
  <c r="AI46" i="6"/>
  <c r="AI35" i="6"/>
  <c r="AI44" i="6"/>
  <c r="AI31" i="6"/>
  <c r="AI48" i="6"/>
  <c r="AI16" i="6"/>
  <c r="AI30" i="6"/>
  <c r="AI38" i="6"/>
  <c r="AI39" i="6"/>
  <c r="AI52" i="6"/>
  <c r="AI33" i="6"/>
  <c r="F36" i="6"/>
  <c r="BF21" i="6" s="1"/>
  <c r="AI47" i="6"/>
  <c r="AI36" i="6"/>
  <c r="AI37" i="6"/>
  <c r="AI34" i="6"/>
  <c r="AI43" i="6"/>
  <c r="AI32" i="6"/>
  <c r="AI50" i="6"/>
  <c r="AI45" i="6"/>
  <c r="AI6" i="6"/>
  <c r="AI49" i="6"/>
  <c r="BL13" i="6"/>
  <c r="AI10" i="25"/>
  <c r="J24" i="6"/>
  <c r="Q77" i="6"/>
  <c r="E36" i="6" s="1"/>
  <c r="Q76" i="6"/>
  <c r="AO35" i="27" l="1"/>
  <c r="AO32" i="27"/>
  <c r="AO38" i="27"/>
  <c r="AO37" i="27"/>
  <c r="AO30" i="27"/>
  <c r="AO36" i="27"/>
  <c r="AO33" i="27"/>
  <c r="AO34" i="27"/>
  <c r="AO31" i="27"/>
  <c r="R104" i="6"/>
  <c r="E26" i="6"/>
  <c r="E21" i="25" s="1"/>
  <c r="R108" i="6"/>
  <c r="AN6" i="6"/>
  <c r="AO6" i="6" s="1"/>
  <c r="E27" i="6"/>
  <c r="E22" i="25" s="1"/>
  <c r="AN49" i="6"/>
  <c r="AN50" i="6"/>
  <c r="AN43" i="6"/>
  <c r="AN37" i="6"/>
  <c r="AN36" i="6"/>
  <c r="AN33" i="6"/>
  <c r="AN39" i="6"/>
  <c r="AN38" i="6"/>
  <c r="AN44" i="6"/>
  <c r="AN46" i="6"/>
  <c r="AN51" i="6"/>
  <c r="R106" i="6"/>
  <c r="R111" i="6"/>
  <c r="R105" i="6"/>
  <c r="R103" i="6"/>
  <c r="AN45" i="6"/>
  <c r="AN32" i="6"/>
  <c r="AN34" i="6"/>
  <c r="AN47" i="6"/>
  <c r="R109" i="6"/>
  <c r="R107" i="6"/>
  <c r="AN52" i="6"/>
  <c r="AN48" i="6"/>
  <c r="AN31" i="6"/>
  <c r="AN35" i="6"/>
  <c r="R101" i="6"/>
  <c r="R110" i="6"/>
  <c r="AY9" i="6"/>
  <c r="BJ9" i="6"/>
  <c r="R102" i="6"/>
  <c r="AG6" i="26"/>
  <c r="Q62" i="27"/>
  <c r="AN30" i="6"/>
  <c r="Q58" i="27"/>
  <c r="F31" i="26"/>
  <c r="BF21" i="27"/>
  <c r="AC16" i="26" s="1"/>
  <c r="AT56" i="27"/>
  <c r="AT23" i="27"/>
  <c r="AT29" i="27"/>
  <c r="AT34" i="27"/>
  <c r="AT27" i="27"/>
  <c r="AT33" i="27"/>
  <c r="AT47" i="27"/>
  <c r="AT37" i="27"/>
  <c r="AT51" i="27"/>
  <c r="AT52" i="27"/>
  <c r="AT57" i="27"/>
  <c r="AT22" i="27"/>
  <c r="AT30" i="27"/>
  <c r="AT39" i="27"/>
  <c r="AT59" i="27"/>
  <c r="AT49" i="27"/>
  <c r="AT25" i="27"/>
  <c r="AT48" i="27"/>
  <c r="AT58" i="27"/>
  <c r="AT35" i="27"/>
  <c r="AT44" i="27"/>
  <c r="AT53" i="27"/>
  <c r="AT40" i="27"/>
  <c r="AT45" i="27"/>
  <c r="AT50" i="27"/>
  <c r="AT43" i="27"/>
  <c r="AT28" i="27"/>
  <c r="AT38" i="27"/>
  <c r="AT32" i="27"/>
  <c r="AT42" i="27"/>
  <c r="J20" i="26"/>
  <c r="AT36" i="27"/>
  <c r="AT41" i="27"/>
  <c r="AT46" i="27"/>
  <c r="AT55" i="27"/>
  <c r="AT24" i="27"/>
  <c r="AT54" i="27"/>
  <c r="AT31" i="27"/>
  <c r="AT26" i="27"/>
  <c r="E31" i="26"/>
  <c r="AU21" i="27"/>
  <c r="R16" i="26" s="1"/>
  <c r="E34" i="27"/>
  <c r="E29" i="26" s="1"/>
  <c r="F31" i="25"/>
  <c r="AT59" i="6"/>
  <c r="AT23" i="6"/>
  <c r="J20" i="25"/>
  <c r="AT30" i="6"/>
  <c r="AT25" i="6"/>
  <c r="AT34" i="6"/>
  <c r="AT47" i="6"/>
  <c r="AT46" i="6"/>
  <c r="AT35" i="6"/>
  <c r="AT44" i="6"/>
  <c r="AS21" i="6"/>
  <c r="AT53" i="6"/>
  <c r="AT32" i="6"/>
  <c r="AT57" i="6"/>
  <c r="AT51" i="6"/>
  <c r="AT27" i="6"/>
  <c r="AT26" i="6"/>
  <c r="AT29" i="6"/>
  <c r="AT38" i="6"/>
  <c r="AT48" i="6"/>
  <c r="AT41" i="6"/>
  <c r="AT43" i="6"/>
  <c r="AT31" i="6"/>
  <c r="AT45" i="6"/>
  <c r="AT36" i="6"/>
  <c r="AT55" i="6"/>
  <c r="AT37" i="6"/>
  <c r="AT39" i="6"/>
  <c r="AT24" i="6"/>
  <c r="AT42" i="6"/>
  <c r="AT40" i="6"/>
  <c r="AT28" i="6"/>
  <c r="AT50" i="6"/>
  <c r="AT49" i="6"/>
  <c r="AT21" i="6"/>
  <c r="AT52" i="6"/>
  <c r="AT33" i="6"/>
  <c r="AT54" i="6"/>
  <c r="AT56" i="6"/>
  <c r="AT58" i="6"/>
  <c r="AT22" i="6"/>
  <c r="AU21" i="6"/>
  <c r="E31" i="25"/>
  <c r="E34" i="6"/>
  <c r="E29" i="25" s="1"/>
  <c r="Q58" i="6" l="1"/>
  <c r="R94" i="6"/>
  <c r="F14" i="6" s="1"/>
  <c r="G9" i="25" s="1"/>
  <c r="Q62" i="6"/>
  <c r="E29" i="6"/>
  <c r="E24" i="25" s="1"/>
  <c r="Q61" i="6"/>
  <c r="Q57" i="6"/>
  <c r="E29" i="27"/>
  <c r="E24" i="26" s="1"/>
  <c r="Q57" i="27"/>
  <c r="Q59" i="27" s="1"/>
  <c r="Q79" i="27" s="1"/>
  <c r="AA61" i="27" s="1"/>
  <c r="AJ63" i="27" s="1"/>
  <c r="Q61" i="27"/>
  <c r="Q63" i="27" s="1"/>
  <c r="Q80" i="27" s="1"/>
  <c r="AA85" i="27" s="1"/>
  <c r="E28" i="27"/>
  <c r="E23" i="26" s="1"/>
  <c r="BG21" i="27"/>
  <c r="AD16" i="26" s="1"/>
  <c r="AT21" i="27"/>
  <c r="E28" i="6"/>
  <c r="E23" i="25" s="1"/>
  <c r="BG21" i="6"/>
  <c r="Q63" i="6" l="1"/>
  <c r="Q80" i="6" s="1"/>
  <c r="S115" i="6" s="1"/>
  <c r="Q59" i="6"/>
  <c r="Q79" i="6" s="1"/>
  <c r="AA69" i="27"/>
  <c r="AJ71" i="27" s="1"/>
  <c r="AJ62" i="27"/>
  <c r="AJ61" i="27"/>
  <c r="AA77" i="27"/>
  <c r="AJ77" i="27" s="1"/>
  <c r="AA111" i="27"/>
  <c r="AJ111" i="27" s="1"/>
  <c r="AM111" i="27" s="1"/>
  <c r="Q89" i="27" s="1"/>
  <c r="U55" i="27" s="1"/>
  <c r="F54" i="27" s="1"/>
  <c r="F49" i="26" s="1"/>
  <c r="S114" i="27"/>
  <c r="AA118" i="27"/>
  <c r="AJ118" i="27" s="1"/>
  <c r="AA96" i="27"/>
  <c r="AJ97" i="27" s="1"/>
  <c r="AA105" i="27"/>
  <c r="AJ105" i="27" s="1"/>
  <c r="AM105" i="27" s="1"/>
  <c r="Q88" i="27" s="1"/>
  <c r="E51" i="27" s="1"/>
  <c r="E46" i="26" s="1"/>
  <c r="AJ86" i="27"/>
  <c r="AJ87" i="27"/>
  <c r="AJ85" i="27"/>
  <c r="AJ88" i="27"/>
  <c r="Z85" i="6" l="1"/>
  <c r="AI86" i="6" s="1"/>
  <c r="Z96" i="6"/>
  <c r="AI98" i="6" s="1"/>
  <c r="Z105" i="6"/>
  <c r="AI105" i="6" s="1"/>
  <c r="AL105" i="6" s="1"/>
  <c r="Q88" i="6" s="1"/>
  <c r="E51" i="6" s="1"/>
  <c r="E46" i="25" s="1"/>
  <c r="Z118" i="6"/>
  <c r="AI118" i="6" s="1"/>
  <c r="Z69" i="6"/>
  <c r="AI70" i="6" s="1"/>
  <c r="Z77" i="6"/>
  <c r="AI77" i="6" s="1"/>
  <c r="AJ69" i="27"/>
  <c r="S114" i="6"/>
  <c r="Z111" i="6"/>
  <c r="AI111" i="6" s="1"/>
  <c r="AL111" i="6" s="1"/>
  <c r="Q89" i="6" s="1"/>
  <c r="U56" i="6" s="1"/>
  <c r="F54" i="6" s="1"/>
  <c r="F49" i="25" s="1"/>
  <c r="Z61" i="6"/>
  <c r="AI63" i="6" s="1"/>
  <c r="T131" i="27"/>
  <c r="T120" i="27"/>
  <c r="T122" i="27"/>
  <c r="T124" i="27"/>
  <c r="T126" i="27"/>
  <c r="T119" i="27"/>
  <c r="T121" i="27"/>
  <c r="T123" i="27"/>
  <c r="T125" i="27"/>
  <c r="T127" i="27"/>
  <c r="T118" i="27"/>
  <c r="AJ78" i="27"/>
  <c r="E54" i="27"/>
  <c r="E49" i="26" s="1"/>
  <c r="AM61" i="27"/>
  <c r="Q82" i="27" s="1"/>
  <c r="E38" i="27" s="1"/>
  <c r="AV21" i="27" s="1"/>
  <c r="S16" i="26" s="1"/>
  <c r="BN21" i="27"/>
  <c r="AK16" i="26" s="1"/>
  <c r="AJ70" i="27"/>
  <c r="AM69" i="27" s="1"/>
  <c r="Q83" i="27" s="1"/>
  <c r="AA169" i="27" s="1"/>
  <c r="AJ170" i="27" s="1"/>
  <c r="AM169" i="27" s="1"/>
  <c r="K55" i="27" s="1"/>
  <c r="AJ119" i="27"/>
  <c r="AM118" i="27" s="1"/>
  <c r="Q90" i="27" s="1"/>
  <c r="E57" i="27" s="1"/>
  <c r="E52" i="26" s="1"/>
  <c r="AJ99" i="27"/>
  <c r="AJ98" i="27"/>
  <c r="U54" i="27"/>
  <c r="F51" i="27" s="1"/>
  <c r="AJ96" i="27"/>
  <c r="AM85" i="27"/>
  <c r="Q86" i="27" s="1"/>
  <c r="E45" i="27" s="1"/>
  <c r="BA21" i="27"/>
  <c r="X16" i="26" s="1"/>
  <c r="AI87" i="6" l="1"/>
  <c r="AI97" i="6"/>
  <c r="AI99" i="6"/>
  <c r="AI88" i="6"/>
  <c r="AI85" i="6"/>
  <c r="AI96" i="6"/>
  <c r="AI119" i="6"/>
  <c r="AL118" i="6" s="1"/>
  <c r="Q90" i="6" s="1"/>
  <c r="E57" i="6" s="1"/>
  <c r="E52" i="25" s="1"/>
  <c r="U55" i="6"/>
  <c r="F51" i="6" s="1"/>
  <c r="F46" i="25" s="1"/>
  <c r="AH16" i="25" s="1"/>
  <c r="AI69" i="6"/>
  <c r="T119" i="6"/>
  <c r="T120" i="6"/>
  <c r="T124" i="6"/>
  <c r="T128" i="6"/>
  <c r="T126" i="6"/>
  <c r="T123" i="6"/>
  <c r="T127" i="6"/>
  <c r="T121" i="6"/>
  <c r="T125" i="6"/>
  <c r="T122" i="6"/>
  <c r="AI71" i="6"/>
  <c r="AI61" i="6"/>
  <c r="AI78" i="6"/>
  <c r="T132" i="6"/>
  <c r="E54" i="6"/>
  <c r="E49" i="25" s="1"/>
  <c r="AI62" i="6"/>
  <c r="AL61" i="6" s="1"/>
  <c r="Q82" i="6" s="1"/>
  <c r="U49" i="6" s="1"/>
  <c r="F38" i="6" s="1"/>
  <c r="BH21" i="6" s="1"/>
  <c r="BB21" i="27"/>
  <c r="Y16" i="26" s="1"/>
  <c r="U48" i="27"/>
  <c r="F38" i="27" s="1"/>
  <c r="BH21" i="27" s="1"/>
  <c r="AE16" i="26" s="1"/>
  <c r="R96" i="27"/>
  <c r="F16" i="27" s="1"/>
  <c r="G11" i="26" s="1"/>
  <c r="E33" i="26"/>
  <c r="BM21" i="27"/>
  <c r="AJ16" i="26" s="1"/>
  <c r="F46" i="26"/>
  <c r="AA151" i="27"/>
  <c r="Q84" i="27"/>
  <c r="E41" i="27" s="1"/>
  <c r="E36" i="26" s="1"/>
  <c r="AA142" i="27"/>
  <c r="AJ143" i="27" s="1"/>
  <c r="AJ79" i="27"/>
  <c r="AM77" i="27" s="1"/>
  <c r="Q85" i="27" s="1"/>
  <c r="U51" i="27" s="1"/>
  <c r="F43" i="27" s="1"/>
  <c r="AA177" i="27"/>
  <c r="AJ177" i="27" s="1"/>
  <c r="AM177" i="27" s="1"/>
  <c r="U49" i="27"/>
  <c r="E40" i="27"/>
  <c r="AA125" i="27"/>
  <c r="AJ126" i="27" s="1"/>
  <c r="AM125" i="27" s="1"/>
  <c r="K35" i="27" s="1"/>
  <c r="AA133" i="27"/>
  <c r="AJ134" i="27" s="1"/>
  <c r="AA160" i="27"/>
  <c r="AM96" i="27"/>
  <c r="Q87" i="27" s="1"/>
  <c r="U52" i="27"/>
  <c r="F45" i="27" s="1"/>
  <c r="F40" i="26" s="1"/>
  <c r="U56" i="27"/>
  <c r="F57" i="27" s="1"/>
  <c r="F52" i="26" s="1"/>
  <c r="U64" i="27"/>
  <c r="K50" i="26"/>
  <c r="E40" i="26"/>
  <c r="AY21" i="27"/>
  <c r="V16" i="26" s="1"/>
  <c r="BC21" i="27"/>
  <c r="Z16" i="26" s="1"/>
  <c r="BN21" i="6"/>
  <c r="AG16" i="25"/>
  <c r="BA21" i="6"/>
  <c r="AL96" i="6" l="1"/>
  <c r="Q87" i="6" s="1"/>
  <c r="U54" i="6" s="1"/>
  <c r="F48" i="6" s="1"/>
  <c r="F43" i="25" s="1"/>
  <c r="AL69" i="6"/>
  <c r="Q83" i="6" s="1"/>
  <c r="Z133" i="6" s="1"/>
  <c r="AI134" i="6" s="1"/>
  <c r="AL85" i="6"/>
  <c r="Q86" i="6" s="1"/>
  <c r="U53" i="6" s="1"/>
  <c r="F45" i="6" s="1"/>
  <c r="BK21" i="6" s="1"/>
  <c r="BC21" i="6"/>
  <c r="BM21" i="6"/>
  <c r="U57" i="6"/>
  <c r="F57" i="6" s="1"/>
  <c r="BO21" i="6" s="1"/>
  <c r="AL77" i="6"/>
  <c r="Q85" i="6" s="1"/>
  <c r="U52" i="6" s="1"/>
  <c r="F43" i="6" s="1"/>
  <c r="F38" i="25" s="1"/>
  <c r="R96" i="6"/>
  <c r="F16" i="6" s="1"/>
  <c r="G11" i="25" s="1"/>
  <c r="BB21" i="6"/>
  <c r="F33" i="26"/>
  <c r="E38" i="6"/>
  <c r="E33" i="25" s="1"/>
  <c r="F33" i="25"/>
  <c r="AW21" i="27"/>
  <c r="T16" i="26" s="1"/>
  <c r="E35" i="26"/>
  <c r="BL21" i="27"/>
  <c r="AI16" i="26" s="1"/>
  <c r="F38" i="26"/>
  <c r="U67" i="27"/>
  <c r="U71" i="27" s="1"/>
  <c r="U75" i="27" s="1"/>
  <c r="U79" i="27" s="1"/>
  <c r="U53" i="27"/>
  <c r="F48" i="27" s="1"/>
  <c r="U83" i="27"/>
  <c r="U59" i="27"/>
  <c r="K30" i="26"/>
  <c r="AJ144" i="27"/>
  <c r="AM142" i="27" s="1"/>
  <c r="K43" i="27" s="1"/>
  <c r="F40" i="27"/>
  <c r="F35" i="26" s="1"/>
  <c r="U50" i="27"/>
  <c r="F41" i="27" s="1"/>
  <c r="F36" i="26" s="1"/>
  <c r="AJ153" i="27"/>
  <c r="AJ152" i="27"/>
  <c r="E43" i="27"/>
  <c r="E48" i="27"/>
  <c r="E43" i="26" s="1"/>
  <c r="AJ135" i="27"/>
  <c r="AM133" i="27" s="1"/>
  <c r="K39" i="27" s="1"/>
  <c r="AJ161" i="27"/>
  <c r="AJ162" i="27"/>
  <c r="BK21" i="27"/>
  <c r="AH16" i="26" s="1"/>
  <c r="BO21" i="27"/>
  <c r="AL16" i="26" s="1"/>
  <c r="U82" i="27" l="1"/>
  <c r="U84" i="27" s="1"/>
  <c r="U85" i="27" s="1"/>
  <c r="E48" i="6"/>
  <c r="E43" i="25" s="1"/>
  <c r="U84" i="6"/>
  <c r="BJ21" i="6"/>
  <c r="Z142" i="6"/>
  <c r="AI143" i="6" s="1"/>
  <c r="AI79" i="6"/>
  <c r="Z169" i="6"/>
  <c r="AI170" i="6" s="1"/>
  <c r="Z160" i="6"/>
  <c r="AI161" i="6" s="1"/>
  <c r="Z125" i="6"/>
  <c r="AI126" i="6" s="1"/>
  <c r="AI135" i="6"/>
  <c r="Q84" i="6"/>
  <c r="E41" i="6" s="1"/>
  <c r="E36" i="25" s="1"/>
  <c r="U50" i="6"/>
  <c r="F40" i="6" s="1"/>
  <c r="F35" i="25" s="1"/>
  <c r="AB16" i="25" s="1"/>
  <c r="Z151" i="6"/>
  <c r="AI152" i="6" s="1"/>
  <c r="F40" i="25"/>
  <c r="U83" i="6"/>
  <c r="E45" i="6"/>
  <c r="E40" i="25" s="1"/>
  <c r="AL133" i="6"/>
  <c r="U61" i="6" s="1"/>
  <c r="Z177" i="6"/>
  <c r="AI177" i="6" s="1"/>
  <c r="AL177" i="6" s="1"/>
  <c r="U68" i="6" s="1"/>
  <c r="E40" i="6"/>
  <c r="E35" i="25" s="1"/>
  <c r="X16" i="25" s="1"/>
  <c r="F52" i="25"/>
  <c r="AJ16" i="25" s="1"/>
  <c r="E43" i="6"/>
  <c r="E38" i="25" s="1"/>
  <c r="U61" i="27"/>
  <c r="K38" i="26"/>
  <c r="AV21" i="6"/>
  <c r="AM151" i="27"/>
  <c r="K47" i="27" s="1"/>
  <c r="AM160" i="27"/>
  <c r="K51" i="27" s="1"/>
  <c r="AZ21" i="27"/>
  <c r="W16" i="26" s="1"/>
  <c r="E38" i="26"/>
  <c r="BJ21" i="27"/>
  <c r="AG16" i="26" s="1"/>
  <c r="F43" i="26"/>
  <c r="AX21" i="27"/>
  <c r="U16" i="26" s="1"/>
  <c r="U69" i="27"/>
  <c r="U73" i="27" s="1"/>
  <c r="U70" i="27"/>
  <c r="U74" i="27" s="1"/>
  <c r="E64" i="27"/>
  <c r="E59" i="26" s="1"/>
  <c r="U60" i="27"/>
  <c r="K34" i="26"/>
  <c r="BI21" i="27"/>
  <c r="AF16" i="26" s="1"/>
  <c r="BL21" i="6"/>
  <c r="AX21" i="6" l="1"/>
  <c r="BI21" i="6"/>
  <c r="AI153" i="6"/>
  <c r="AL151" i="6" s="1"/>
  <c r="K47" i="6" s="1"/>
  <c r="K42" i="25" s="1"/>
  <c r="U85" i="6"/>
  <c r="U86" i="6" s="1"/>
  <c r="U87" i="6" s="1"/>
  <c r="J62" i="6" s="1"/>
  <c r="J57" i="25" s="1"/>
  <c r="U51" i="6"/>
  <c r="F41" i="6" s="1"/>
  <c r="F36" i="25" s="1"/>
  <c r="AL160" i="6"/>
  <c r="K51" i="6" s="1"/>
  <c r="K46" i="25" s="1"/>
  <c r="AI144" i="6"/>
  <c r="AL142" i="6" s="1"/>
  <c r="K43" i="6" s="1"/>
  <c r="K38" i="25" s="1"/>
  <c r="AL125" i="6"/>
  <c r="U60" i="6" s="1"/>
  <c r="AI162" i="6"/>
  <c r="AL169" i="6"/>
  <c r="U65" i="6" s="1"/>
  <c r="K39" i="6"/>
  <c r="K34" i="25" s="1"/>
  <c r="AY21" i="6"/>
  <c r="U16" i="25"/>
  <c r="AD16" i="25"/>
  <c r="S16" i="25"/>
  <c r="Z16" i="25"/>
  <c r="AW21" i="6"/>
  <c r="R16" i="25"/>
  <c r="Y16" i="25"/>
  <c r="W16" i="25"/>
  <c r="T16" i="25"/>
  <c r="V16" i="25"/>
  <c r="U71" i="6"/>
  <c r="U75" i="6" s="1"/>
  <c r="U79" i="6" s="1"/>
  <c r="E63" i="6" s="1"/>
  <c r="E58" i="25" s="1"/>
  <c r="U72" i="6"/>
  <c r="U76" i="6" s="1"/>
  <c r="U80" i="6" s="1"/>
  <c r="E64" i="6" s="1"/>
  <c r="E59" i="25" s="1"/>
  <c r="U70" i="6"/>
  <c r="U74" i="6" s="1"/>
  <c r="U78" i="6" s="1"/>
  <c r="E62" i="6" s="1"/>
  <c r="E57" i="25" s="1"/>
  <c r="AZ21" i="6"/>
  <c r="K46" i="26"/>
  <c r="U62" i="27"/>
  <c r="K42" i="26"/>
  <c r="U78" i="27"/>
  <c r="E63" i="27" s="1"/>
  <c r="E58" i="26" s="1"/>
  <c r="U77" i="27"/>
  <c r="E62" i="27" s="1"/>
  <c r="U63" i="27"/>
  <c r="U86" i="27"/>
  <c r="J62" i="27" s="1"/>
  <c r="J57" i="26" s="1"/>
  <c r="U63" i="6" l="1"/>
  <c r="K55" i="6"/>
  <c r="K50" i="25" s="1"/>
  <c r="U64" i="6"/>
  <c r="U62" i="6"/>
  <c r="K35" i="6"/>
  <c r="K30" i="25" s="1"/>
  <c r="E57" i="26"/>
</calcChain>
</file>

<file path=xl/sharedStrings.xml><?xml version="1.0" encoding="utf-8"?>
<sst xmlns="http://schemas.openxmlformats.org/spreadsheetml/2006/main" count="2093" uniqueCount="635">
  <si>
    <t>HAS--Rear</t>
  </si>
  <si>
    <t>AIRBLAST    PARAMETERS</t>
  </si>
  <si>
    <t>INPUT SECTION</t>
  </si>
  <si>
    <t>OUTPUT SECTION</t>
  </si>
  <si>
    <t>RANGE</t>
  </si>
  <si>
    <t>PRESSURE</t>
  </si>
  <si>
    <t>IMPULSE</t>
  </si>
  <si>
    <t>(feet)</t>
  </si>
  <si>
    <t>TIME OF</t>
  </si>
  <si>
    <t>ARRIVAL</t>
  </si>
  <si>
    <t>(ms)</t>
  </si>
  <si>
    <t>INCIDENT</t>
  </si>
  <si>
    <t>(psi)</t>
  </si>
  <si>
    <t>(psi-ms)</t>
  </si>
  <si>
    <t>POSITIVE</t>
  </si>
  <si>
    <t>DURATION</t>
  </si>
  <si>
    <t>REFLECTED</t>
  </si>
  <si>
    <t>DYNAMIC</t>
  </si>
  <si>
    <t>(kPa)</t>
  </si>
  <si>
    <t>ATMOSPHERE   PARAMETERS</t>
  </si>
  <si>
    <t>Positive Phase Duration</t>
  </si>
  <si>
    <t>Positive Phase Impulse</t>
  </si>
  <si>
    <t>Reflected Impulse</t>
  </si>
  <si>
    <t>Dynamic Overpressure</t>
  </si>
  <si>
    <t>60" x 42 " x 0.22"</t>
  </si>
  <si>
    <t>Float annealed</t>
  </si>
  <si>
    <t>Plate annealed</t>
  </si>
  <si>
    <t>72" x 60" x 0.22"</t>
  </si>
  <si>
    <t>120" x 60" x 0.30"</t>
  </si>
  <si>
    <t>Probability of Eardrum Rupture</t>
  </si>
  <si>
    <t>To ES (ft)</t>
  </si>
  <si>
    <t xml:space="preserve">          Select Type</t>
  </si>
  <si>
    <t>Temperature (°C)</t>
  </si>
  <si>
    <t>Select Atmospheric</t>
  </si>
  <si>
    <t>Altitude (feet)</t>
  </si>
  <si>
    <t>Pressure (psi)</t>
  </si>
  <si>
    <t>Enter</t>
  </si>
  <si>
    <t>D</t>
  </si>
  <si>
    <t>H-6</t>
  </si>
  <si>
    <t>ECM--Rear</t>
  </si>
  <si>
    <t>Composition B</t>
  </si>
  <si>
    <t>EXPLOSIVE    PARAMETERS</t>
  </si>
  <si>
    <t>HAS--Front</t>
  </si>
  <si>
    <t>DDESB</t>
  </si>
  <si>
    <t>Total NEW (lb)</t>
  </si>
  <si>
    <t>HAS--Side</t>
  </si>
  <si>
    <t>ENGLISH-TO-METRIC CONVERSION</t>
  </si>
  <si>
    <t>Explosive</t>
  </si>
  <si>
    <t>Total NEW (lbs)</t>
  </si>
  <si>
    <t>METRIC-TO-ENGLISH CONVERSION</t>
  </si>
  <si>
    <t xml:space="preserve">       Explosion Site (PES)</t>
  </si>
  <si>
    <t xml:space="preserve">          Select Potential</t>
  </si>
  <si>
    <t>42" x 36" x 0.12"</t>
  </si>
  <si>
    <t>12" x 24" x 0.088"</t>
  </si>
  <si>
    <t>24" x 24" x 0.088"</t>
  </si>
  <si>
    <t>PES Type</t>
  </si>
  <si>
    <r>
      <t>Open Storage/</t>
    </r>
    <r>
      <rPr>
        <sz val="12"/>
        <color indexed="14"/>
        <rFont val="Times New Roman"/>
        <family val="1"/>
      </rPr>
      <t>STANDARD</t>
    </r>
  </si>
  <si>
    <t>Bulk/Light Cased:  STANDARD</t>
  </si>
  <si>
    <t>Open/Standard</t>
  </si>
  <si>
    <t>Warning Messages</t>
  </si>
  <si>
    <r>
      <t>Pressure (S</t>
    </r>
    <r>
      <rPr>
        <vertAlign val="subscript"/>
        <sz val="12"/>
        <rFont val="Times New Roman"/>
        <family val="1"/>
      </rPr>
      <t>p</t>
    </r>
    <r>
      <rPr>
        <sz val="12"/>
        <rFont val="Times New Roman"/>
        <family val="1"/>
      </rPr>
      <t>)</t>
    </r>
  </si>
  <si>
    <r>
      <t>Distance (S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>)</t>
    </r>
  </si>
  <si>
    <r>
      <t>Time (S</t>
    </r>
    <r>
      <rPr>
        <vertAlign val="subscript"/>
        <sz val="12"/>
        <rFont val="Times New Roman"/>
        <family val="1"/>
      </rPr>
      <t>t</t>
    </r>
    <r>
      <rPr>
        <sz val="12"/>
        <rFont val="Times New Roman"/>
        <family val="1"/>
      </rPr>
      <t>)</t>
    </r>
  </si>
  <si>
    <r>
      <t>Impulse (S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)</t>
    </r>
  </si>
  <si>
    <r>
      <t>Scaled Distance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</si>
  <si>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Area = 2 ft</t>
    </r>
    <r>
      <rPr>
        <vertAlign val="superscript"/>
        <sz val="12"/>
        <rFont val="Times New Roman"/>
        <family val="1"/>
      </rPr>
      <t>2</t>
    </r>
  </si>
  <si>
    <r>
      <t>Area = 17.5  ft</t>
    </r>
    <r>
      <rPr>
        <vertAlign val="superscript"/>
        <sz val="12"/>
        <rFont val="Times New Roman"/>
        <family val="1"/>
      </rPr>
      <t>2</t>
    </r>
  </si>
  <si>
    <r>
      <t>Area = 4 ft</t>
    </r>
    <r>
      <rPr>
        <vertAlign val="superscript"/>
        <sz val="12"/>
        <rFont val="Times New Roman"/>
        <family val="1"/>
      </rPr>
      <t>2</t>
    </r>
  </si>
  <si>
    <r>
      <t>Area = 30  ft</t>
    </r>
    <r>
      <rPr>
        <vertAlign val="superscript"/>
        <sz val="12"/>
        <rFont val="Times New Roman"/>
        <family val="1"/>
      </rPr>
      <t>2</t>
    </r>
  </si>
  <si>
    <r>
      <t>Area = 10.5 ft</t>
    </r>
    <r>
      <rPr>
        <vertAlign val="superscript"/>
        <sz val="12"/>
        <rFont val="Times New Roman"/>
        <family val="1"/>
      </rPr>
      <t>2</t>
    </r>
  </si>
  <si>
    <r>
      <t>Area = 50  ft</t>
    </r>
    <r>
      <rPr>
        <vertAlign val="superscript"/>
        <sz val="12"/>
        <rFont val="Times New Roman"/>
        <family val="1"/>
      </rPr>
      <t>2</t>
    </r>
  </si>
  <si>
    <r>
      <t>Scaled Distance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</si>
  <si>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t>ECM or HPM--Front</t>
  </si>
  <si>
    <t>ECM--Side or HPM--Side and Rear</t>
  </si>
  <si>
    <t>TNT Equivalence--Pressure</t>
  </si>
  <si>
    <t>TNT Equivalence--Impulse</t>
  </si>
  <si>
    <t>Temperature (°F)</t>
  </si>
  <si>
    <t>English Units (lb, ft, psi, psi-ms, ms, °F)</t>
  </si>
  <si>
    <t>SCALED</t>
  </si>
  <si>
    <t>DISTANCE</t>
  </si>
  <si>
    <t>Explosion Site (ES)</t>
  </si>
  <si>
    <t>SUMMARY TABLE (SEA LEVEL CONDITIONS)</t>
  </si>
  <si>
    <t xml:space="preserve"> Explosive Type or Pressure Equivalence</t>
  </si>
  <si>
    <t>Explosive Type or Impulse Equivalence</t>
  </si>
  <si>
    <t>SUMMARY TABLE (AT ALTITUDE AND TEMPERATURE CONDITIONS)</t>
  </si>
  <si>
    <t>Altitude (ft)</t>
  </si>
  <si>
    <t>@ Altitude</t>
  </si>
  <si>
    <t>A</t>
  </si>
  <si>
    <t>B</t>
  </si>
  <si>
    <t>C</t>
  </si>
  <si>
    <t>E</t>
  </si>
  <si>
    <t>F</t>
  </si>
  <si>
    <t>G</t>
  </si>
  <si>
    <t>H</t>
  </si>
  <si>
    <t>Altitude (m)</t>
  </si>
  <si>
    <t>To ES (m)</t>
  </si>
  <si>
    <t xml:space="preserve">For Technical Information Contact:  </t>
  </si>
  <si>
    <t xml:space="preserve">Sponsored by:  </t>
  </si>
  <si>
    <t>TGHAS--Front</t>
  </si>
  <si>
    <t>TGHAS--Side</t>
  </si>
  <si>
    <t>TGHAS--Rear</t>
  </si>
  <si>
    <t xml:space="preserve">Based on </t>
  </si>
  <si>
    <r>
      <t>(ft/lb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>)</t>
    </r>
  </si>
  <si>
    <t>@ Sea Level</t>
  </si>
  <si>
    <r>
      <t>(m/kg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>)</t>
    </r>
  </si>
  <si>
    <t>x</t>
  </si>
  <si>
    <t>out</t>
  </si>
  <si>
    <t>x's</t>
  </si>
  <si>
    <t>PES Types</t>
  </si>
  <si>
    <t>Selection Boolean</t>
  </si>
  <si>
    <t>Selection Value</t>
  </si>
  <si>
    <t>Selection Type</t>
  </si>
  <si>
    <t>TNT Equivalents</t>
  </si>
  <si>
    <t>Multiplyer Type</t>
  </si>
  <si>
    <t>Atmosphere Description</t>
  </si>
  <si>
    <t>Atmosphere Desciption</t>
  </si>
  <si>
    <t>Input Type</t>
  </si>
  <si>
    <t>Input Value</t>
  </si>
  <si>
    <t>Boolean</t>
  </si>
  <si>
    <r>
      <t>Temperature (</t>
    </r>
    <r>
      <rPr>
        <sz val="12"/>
        <rFont val="Arial"/>
        <family val="2"/>
      </rPr>
      <t>°F)</t>
    </r>
  </si>
  <si>
    <t>Munition Description</t>
  </si>
  <si>
    <t>NEW (lb)</t>
  </si>
  <si>
    <t>Explosive Type</t>
  </si>
  <si>
    <t xml:space="preserve">        Select Type of Explosive</t>
  </si>
  <si>
    <r>
      <t>Density (lb/in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</si>
  <si>
    <t>Average Equivalent Weight (pressure)</t>
  </si>
  <si>
    <t>Average Equivalent Weight (impulse)</t>
  </si>
  <si>
    <t>Pressure Range 
(kPa)</t>
  </si>
  <si>
    <t>Black Powder</t>
  </si>
  <si>
    <t>Composition A-3</t>
  </si>
  <si>
    <t>Composition C-4</t>
  </si>
  <si>
    <t>Cyclotol (70/30)</t>
  </si>
  <si>
    <t>HBX-1</t>
  </si>
  <si>
    <t>HBX-3</t>
  </si>
  <si>
    <t>Minol II</t>
  </si>
  <si>
    <t>PETN</t>
  </si>
  <si>
    <t>Pentolite (50/50)</t>
  </si>
  <si>
    <t>Picratol</t>
  </si>
  <si>
    <t>Tetryl</t>
  </si>
  <si>
    <t>Tetrytol</t>
  </si>
  <si>
    <t>TNETB</t>
  </si>
  <si>
    <t>TNT</t>
  </si>
  <si>
    <t>Tritonal (TNT/Al=80/20)</t>
  </si>
  <si>
    <t>Other - User Defined</t>
  </si>
  <si>
    <t>Pressure</t>
  </si>
  <si>
    <t>Impulse</t>
  </si>
  <si>
    <t>Enter TNT Equivalents</t>
  </si>
  <si>
    <t>Total NEW, W (lb)</t>
  </si>
  <si>
    <t>Yield Eqn Constants</t>
  </si>
  <si>
    <t>Soln at Selected TNT Eq.</t>
  </si>
  <si>
    <t>No Data</t>
  </si>
  <si>
    <t>Yield Eqn Soln</t>
  </si>
  <si>
    <t>Yield Values</t>
  </si>
  <si>
    <t>Total NEW (lb) =</t>
  </si>
  <si>
    <t>Soln</t>
  </si>
  <si>
    <t>Multiplyer for No. of Weap Entered</t>
  </si>
  <si>
    <r>
      <t>Input Type</t>
    </r>
    <r>
      <rPr>
        <sz val="12"/>
        <rFont val="Times New Roman"/>
        <family val="1"/>
      </rPr>
      <t xml:space="preserve"> </t>
    </r>
  </si>
  <si>
    <t xml:space="preserve">     Standard Temp/Press Conditions</t>
  </si>
  <si>
    <t xml:space="preserve">                  User Selections from Drop-downs</t>
  </si>
  <si>
    <t xml:space="preserve">                  User Inputs &amp; Values from Selections</t>
  </si>
  <si>
    <r>
      <t>TNT Equivalence - Pressure, E</t>
    </r>
    <r>
      <rPr>
        <vertAlign val="subscript"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</t>
    </r>
  </si>
  <si>
    <r>
      <t>TNT Equivalence - Impulse, E</t>
    </r>
    <r>
      <rPr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 xml:space="preserve"> </t>
    </r>
  </si>
  <si>
    <r>
      <t xml:space="preserve">                        </t>
    </r>
    <r>
      <rPr>
        <u/>
        <sz val="12"/>
        <rFont val="Times New Roman"/>
        <family val="1"/>
      </rPr>
      <t>Initial Calculations</t>
    </r>
  </si>
  <si>
    <r>
      <t>Scaled Distance at Alt, Z</t>
    </r>
    <r>
      <rPr>
        <vertAlign val="subscript"/>
        <sz val="12"/>
        <rFont val="Times New Roman"/>
        <family val="1"/>
      </rPr>
      <t>alt</t>
    </r>
    <r>
      <rPr>
        <sz val="12"/>
        <rFont val="Times New Roman"/>
        <family val="1"/>
      </rPr>
      <t xml:space="preserve"> = R/W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</si>
  <si>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 xml:space="preserve">                        </t>
    </r>
    <r>
      <rPr>
        <u/>
        <sz val="12"/>
        <rFont val="Times New Roman"/>
        <family val="1"/>
      </rPr>
      <t>Explosive Parameters</t>
    </r>
  </si>
  <si>
    <r>
      <t>TNT Eq Wt for Calcs (Pressure), W</t>
    </r>
    <r>
      <rPr>
        <vertAlign val="subscript"/>
        <sz val="12"/>
        <rFont val="Times New Roman"/>
        <family val="1"/>
      </rPr>
      <t>TNT,calc,P</t>
    </r>
    <r>
      <rPr>
        <sz val="12"/>
        <rFont val="Times New Roman"/>
        <family val="1"/>
      </rPr>
      <t xml:space="preserve"> (lb)</t>
    </r>
  </si>
  <si>
    <r>
      <t>Pressure Scaling Factor, S</t>
    </r>
    <r>
      <rPr>
        <vertAlign val="subscript"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</t>
    </r>
  </si>
  <si>
    <r>
      <t>Distance Scaling Factor, S</t>
    </r>
    <r>
      <rPr>
        <vertAlign val="subscript"/>
        <sz val="12"/>
        <rFont val="Times New Roman"/>
        <family val="1"/>
      </rPr>
      <t>d</t>
    </r>
  </si>
  <si>
    <r>
      <t>Time Scaling Factor, S</t>
    </r>
    <r>
      <rPr>
        <vertAlign val="subscript"/>
        <sz val="12"/>
        <rFont val="Times New Roman"/>
        <family val="1"/>
      </rPr>
      <t>t</t>
    </r>
  </si>
  <si>
    <r>
      <t>Impulse Scaling Factor, S</t>
    </r>
    <r>
      <rPr>
        <vertAlign val="subscript"/>
        <sz val="12"/>
        <rFont val="Times New Roman"/>
        <family val="1"/>
      </rPr>
      <t>i</t>
    </r>
  </si>
  <si>
    <t xml:space="preserve">           PES = Open Storage </t>
  </si>
  <si>
    <t xml:space="preserve">           PES other than Open Storage </t>
  </si>
  <si>
    <t>-- Equivalent Yield of a Hemispherical Surface Burst at Altitude (lb) --</t>
  </si>
  <si>
    <t xml:space="preserve">          Final Based on User Input</t>
  </si>
  <si>
    <t xml:space="preserve">          Final Based on User Input </t>
  </si>
  <si>
    <r>
      <t>Scaled Distance, Z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 xml:space="preserve"> = Z</t>
    </r>
    <r>
      <rPr>
        <vertAlign val="subscript"/>
        <sz val="12"/>
        <rFont val="Times New Roman"/>
        <family val="1"/>
      </rPr>
      <t>alt</t>
    </r>
    <r>
      <rPr>
        <sz val="12"/>
        <rFont val="Times New Roman"/>
        <family val="1"/>
      </rPr>
      <t>/S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</si>
  <si>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-- Effective Scaled Distance at Sea Level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 --</t>
    </r>
  </si>
  <si>
    <r>
      <t>TNT Eq Wt for Calcs (Impulse), W</t>
    </r>
    <r>
      <rPr>
        <vertAlign val="subscript"/>
        <sz val="12"/>
        <rFont val="Times New Roman"/>
        <family val="1"/>
      </rPr>
      <t>TNT,calc,I</t>
    </r>
    <r>
      <rPr>
        <sz val="12"/>
        <rFont val="Times New Roman"/>
        <family val="1"/>
      </rPr>
      <t xml:space="preserve"> (lb)</t>
    </r>
  </si>
  <si>
    <r>
      <t>Time of Arrival, t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(ms)</t>
    </r>
  </si>
  <si>
    <r>
      <t>Overpressure, P</t>
    </r>
    <r>
      <rPr>
        <vertAlign val="subscript"/>
        <sz val="12"/>
        <rFont val="Times New Roman"/>
        <family val="1"/>
      </rPr>
      <t>so</t>
    </r>
    <r>
      <rPr>
        <sz val="12"/>
        <rFont val="Times New Roman"/>
        <family val="1"/>
      </rPr>
      <t xml:space="preserve"> (psi)</t>
    </r>
  </si>
  <si>
    <r>
      <t>Overpressure, P</t>
    </r>
    <r>
      <rPr>
        <vertAlign val="subscript"/>
        <sz val="12"/>
        <rFont val="Times New Roman"/>
        <family val="1"/>
      </rPr>
      <t>so</t>
    </r>
    <r>
      <rPr>
        <sz val="12"/>
        <rFont val="Times New Roman"/>
        <family val="1"/>
      </rPr>
      <t xml:space="preserve"> (dB)</t>
    </r>
  </si>
  <si>
    <r>
      <t>Reflected Pressure, P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(psi)</t>
    </r>
  </si>
  <si>
    <r>
      <t>Positive Phase Duration, t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(ms)</t>
    </r>
  </si>
  <si>
    <r>
      <t>Positive Phase Impulse, i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 xml:space="preserve"> (psi-ms)</t>
    </r>
  </si>
  <si>
    <r>
      <t>Reflected Impulse, i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(psi-ms)</t>
    </r>
  </si>
  <si>
    <r>
      <t>Dynamic Overpressure, q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(psi)</t>
    </r>
  </si>
  <si>
    <t>Probability of Window Breakage (percent)</t>
  </si>
  <si>
    <r>
      <t>2 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Window, 12"x24"x0.088" float annealed (%)</t>
    </r>
  </si>
  <si>
    <r>
      <t>4 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Window, 24"x24"x0.088" float annealed (%)</t>
    </r>
  </si>
  <si>
    <r>
      <t>17.5 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Window, 60"x42"x0.22" plate annealed (%)</t>
    </r>
  </si>
  <si>
    <r>
      <t>30 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Window, 72"x60"x0.22" plate annealed (%)</t>
    </r>
  </si>
  <si>
    <r>
      <t>50 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Window, 120"x60"x0.30" plate annealed (%)</t>
    </r>
  </si>
  <si>
    <t>-- Probit Functions for Eardrum Rupture --</t>
  </si>
  <si>
    <r>
      <t xml:space="preserve">     Time of Arrival, t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(ms)</t>
    </r>
  </si>
  <si>
    <r>
      <t xml:space="preserve">     Overpressure, P</t>
    </r>
    <r>
      <rPr>
        <vertAlign val="subscript"/>
        <sz val="12"/>
        <rFont val="Times New Roman"/>
        <family val="1"/>
      </rPr>
      <t>so</t>
    </r>
    <r>
      <rPr>
        <sz val="12"/>
        <rFont val="Times New Roman"/>
        <family val="1"/>
      </rPr>
      <t xml:space="preserve"> (psi)</t>
    </r>
  </si>
  <si>
    <r>
      <t xml:space="preserve">     Overpressure, P</t>
    </r>
    <r>
      <rPr>
        <vertAlign val="subscript"/>
        <sz val="12"/>
        <rFont val="Times New Roman"/>
        <family val="1"/>
      </rPr>
      <t>so</t>
    </r>
    <r>
      <rPr>
        <sz val="12"/>
        <rFont val="Times New Roman"/>
        <family val="1"/>
      </rPr>
      <t xml:space="preserve"> (dB)</t>
    </r>
  </si>
  <si>
    <r>
      <t xml:space="preserve">     Reflected Pressure, P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(psi)</t>
    </r>
  </si>
  <si>
    <r>
      <t xml:space="preserve">     Positive Phase Duration, t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(ms)</t>
    </r>
  </si>
  <si>
    <r>
      <t xml:space="preserve">     Positive Phase Impulse, i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 xml:space="preserve"> (psi-ms)</t>
    </r>
  </si>
  <si>
    <r>
      <t xml:space="preserve">     Reflected Impulse, i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(psi-ms)</t>
    </r>
  </si>
  <si>
    <r>
      <t xml:space="preserve">     Dynamic Overpressure, q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(psi)</t>
    </r>
  </si>
  <si>
    <t xml:space="preserve">     Minor Eardrum Rupture</t>
  </si>
  <si>
    <t xml:space="preserve">     Moderate Eardrum Rupture</t>
  </si>
  <si>
    <t xml:space="preserve">     Major Eardrum Rupture</t>
  </si>
  <si>
    <r>
      <t>-- z</t>
    </r>
    <r>
      <rPr>
        <vertAlign val="subscript"/>
        <sz val="12"/>
        <rFont val="Times New Roman"/>
        <family val="1"/>
      </rPr>
      <t>er</t>
    </r>
    <r>
      <rPr>
        <sz val="12"/>
        <rFont val="Times New Roman"/>
        <family val="1"/>
      </rPr>
      <t xml:space="preserve"> value for normal distribution --</t>
    </r>
  </si>
  <si>
    <t>-- Probabilities based on normal distribution --</t>
  </si>
  <si>
    <t xml:space="preserve">     Minor Eardrum Rupture (%)</t>
  </si>
  <si>
    <t xml:space="preserve">     Moderate Eardrum Rupture (%)</t>
  </si>
  <si>
    <t xml:space="preserve">     Major Eardrum Rupture (%)</t>
  </si>
  <si>
    <t>Probability of Lethality due to Lung Rupture</t>
  </si>
  <si>
    <t>Pscaled</t>
  </si>
  <si>
    <t>Iscaled</t>
  </si>
  <si>
    <r>
      <t>s</t>
    </r>
    <r>
      <rPr>
        <vertAlign val="subscript"/>
        <sz val="12"/>
        <rFont val="Times New Roman"/>
        <family val="1"/>
      </rPr>
      <t>lr</t>
    </r>
  </si>
  <si>
    <r>
      <t>z</t>
    </r>
    <r>
      <rPr>
        <vertAlign val="subscript"/>
        <sz val="12"/>
        <rFont val="Times New Roman"/>
        <family val="1"/>
      </rPr>
      <t>lr</t>
    </r>
  </si>
  <si>
    <t>Probability based on normal distribution</t>
  </si>
  <si>
    <t>-- Messages --</t>
  </si>
  <si>
    <t xml:space="preserve">                 Warning Messages</t>
  </si>
  <si>
    <r>
      <t>10.5 ft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Window, 42"x36"x0.12" float annealed (%)</t>
    </r>
  </si>
  <si>
    <t>Atm Pressure (psi)</t>
  </si>
  <si>
    <r>
      <t>Temperature (</t>
    </r>
    <r>
      <rPr>
        <sz val="12"/>
        <rFont val="Arial"/>
        <family val="2"/>
      </rPr>
      <t>°C)</t>
    </r>
  </si>
  <si>
    <t xml:space="preserve">Temperature (K) </t>
  </si>
  <si>
    <t xml:space="preserve">           of Munition</t>
  </si>
  <si>
    <t>Select NEW Basis</t>
  </si>
  <si>
    <t>(No. Items/ Total NEW)</t>
  </si>
  <si>
    <t>Type of Munition</t>
  </si>
  <si>
    <t>NEW per Munition (lb)</t>
  </si>
  <si>
    <t xml:space="preserve">  Type of Munition</t>
  </si>
  <si>
    <t>Munition Type</t>
  </si>
  <si>
    <t>Munition TNT Eq.</t>
  </si>
  <si>
    <t>Soln at Munition TNT Eq.</t>
  </si>
  <si>
    <t>No Munitions =</t>
  </si>
  <si>
    <t>Number of Munitions</t>
  </si>
  <si>
    <t>No. Munitions or Total NEW</t>
  </si>
  <si>
    <t>Number of Munitions, N</t>
  </si>
  <si>
    <t>NEW per Munition, Ws (lb)</t>
  </si>
  <si>
    <t>Scaled Distance, Zalt  (ft/lb1/3) =</t>
  </si>
  <si>
    <t>Enter Distance</t>
  </si>
  <si>
    <t>Distance to ES, R (ft)</t>
  </si>
  <si>
    <t>Time of Arrival at Distance (ms)</t>
  </si>
  <si>
    <t>Reflected Press. at Distance (psi)</t>
  </si>
  <si>
    <t xml:space="preserve"> at Distance (ms)</t>
  </si>
  <si>
    <t xml:space="preserve"> at Distance (psi-ms)</t>
  </si>
  <si>
    <t>Equiv. Distance to ES, Rs (ft)</t>
  </si>
  <si>
    <t xml:space="preserve"> at Distance (psi)</t>
  </si>
  <si>
    <t>-- Parameters at Equivalent Distance (Rs) --</t>
  </si>
  <si>
    <t>-- Parameters at Entered Distance (R) --</t>
  </si>
  <si>
    <t>Eqn 2-1</t>
  </si>
  <si>
    <t>Eqn 2-2</t>
  </si>
  <si>
    <t>SELECTION OPTIONS AND BOOLEAN INDICATORS</t>
  </si>
  <si>
    <t>INPUTS AND SELECTIONS</t>
  </si>
  <si>
    <t>CALCULATIONS</t>
  </si>
  <si>
    <t>Eqn 2-3</t>
  </si>
  <si>
    <t>Eqn 2-4 or 2-6</t>
  </si>
  <si>
    <t>Eqn 2-5 or 2-7</t>
  </si>
  <si>
    <t>TNT Eq. NEW for Calcs -- Pressure (lb)</t>
  </si>
  <si>
    <t>TNT Eq. NEW for Calcs -- Impulse (lb)</t>
  </si>
  <si>
    <t>Eq. Hemispherical Weight (Pressure) (lb)</t>
  </si>
  <si>
    <t>Eq. Hemispherical Weight (Impulse) (lb)</t>
  </si>
  <si>
    <t>Eqn 2-8</t>
  </si>
  <si>
    <r>
      <t xml:space="preserve">     + Pressure, H</t>
    </r>
    <r>
      <rPr>
        <vertAlign val="subscript"/>
        <sz val="12"/>
        <rFont val="Times New Roman"/>
        <family val="1"/>
      </rPr>
      <t>P, alt</t>
    </r>
    <r>
      <rPr>
        <sz val="12"/>
        <rFont val="Times New Roman"/>
        <family val="1"/>
      </rPr>
      <t xml:space="preserve"> (lbs)</t>
    </r>
  </si>
  <si>
    <r>
      <t xml:space="preserve">     + Impulse, H</t>
    </r>
    <r>
      <rPr>
        <vertAlign val="subscript"/>
        <sz val="12"/>
        <rFont val="Times New Roman"/>
        <family val="1"/>
      </rPr>
      <t>I, alt</t>
    </r>
    <r>
      <rPr>
        <sz val="12"/>
        <rFont val="Times New Roman"/>
        <family val="1"/>
      </rPr>
      <t xml:space="preserve"> (lbs)</t>
    </r>
  </si>
  <si>
    <t>Zmin</t>
  </si>
  <si>
    <t>Zmax</t>
  </si>
  <si>
    <t>Fmin</t>
  </si>
  <si>
    <t>Fmax</t>
  </si>
  <si>
    <t>Step Function Values</t>
  </si>
  <si>
    <t>Yield Eqn Soln, Fp</t>
  </si>
  <si>
    <t>Valid Data Range</t>
  </si>
  <si>
    <t>Eqn 2-25</t>
  </si>
  <si>
    <t>Eqn 2-26</t>
  </si>
  <si>
    <t>Eqn 2-27</t>
  </si>
  <si>
    <t>Eqn 2-19</t>
  </si>
  <si>
    <t>Eqn 2-10 or 2-14</t>
  </si>
  <si>
    <t>Eqn 2-12 or 2-14</t>
  </si>
  <si>
    <t>Eqn 2-9</t>
  </si>
  <si>
    <t>Eqn 2-11 or 2-15</t>
  </si>
  <si>
    <t>Eqn 2-13 or 2-15</t>
  </si>
  <si>
    <t>Eqn 2-16</t>
  </si>
  <si>
    <t>Eqn 2-17</t>
  </si>
  <si>
    <t>Eqn 2-20</t>
  </si>
  <si>
    <t>Eqn 2-21</t>
  </si>
  <si>
    <t>Eqn 2-22</t>
  </si>
  <si>
    <t>Eqn 2-23</t>
  </si>
  <si>
    <t>Eqn 2-24</t>
  </si>
  <si>
    <t>Dynamic Impulse</t>
  </si>
  <si>
    <r>
      <t>Dynamic Impulse, i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(psi-ms)</t>
    </r>
  </si>
  <si>
    <t>Multiplyer Type - Safe</t>
  </si>
  <si>
    <t>Incident Pressure at Distance (psi)</t>
  </si>
  <si>
    <t>Incident Pressure at Distance (dB)</t>
  </si>
  <si>
    <t>Based on Munition Type Selected</t>
  </si>
  <si>
    <t>Eqn 2-9 &amp; 2-11 thru 2-15</t>
  </si>
  <si>
    <t>Eqn 2-8 &amp; 2-10 thru 2-14</t>
  </si>
  <si>
    <t>Table 2-1. Pressure and Impulse Yield Functions for Open Storage</t>
  </si>
  <si>
    <t>Table 2-2. Pressure and Impulse Yield Functions for PES other than Open Storage</t>
  </si>
  <si>
    <r>
      <t xml:space="preserve">                        </t>
    </r>
    <r>
      <rPr>
        <u/>
        <sz val="12"/>
        <rFont val="Times New Roman"/>
        <family val="1"/>
      </rPr>
      <t>Atmosphere Parameters</t>
    </r>
  </si>
  <si>
    <r>
      <t xml:space="preserve">                        </t>
    </r>
    <r>
      <rPr>
        <u/>
        <sz val="12"/>
        <rFont val="Times New Roman"/>
        <family val="1"/>
      </rPr>
      <t>Airblast Parameters at Sea Level</t>
    </r>
  </si>
  <si>
    <t>Airblast Parameters at Altitude</t>
  </si>
  <si>
    <t>Eqn 2-29 thru 2-31</t>
  </si>
  <si>
    <t>Eqn 2-32 thru 2-34</t>
  </si>
  <si>
    <t>Eqn 2-35</t>
  </si>
  <si>
    <t>Eqn 2-36 thru 2-38</t>
  </si>
  <si>
    <t>Eqn 2-39 thru 2-42</t>
  </si>
  <si>
    <t>Eqn 2-43 thru 2-46</t>
  </si>
  <si>
    <t>Eqn 2-47</t>
  </si>
  <si>
    <t>Eqn 2-50</t>
  </si>
  <si>
    <t>Eqn 2-51 thru 2-52</t>
  </si>
  <si>
    <t>Eqn 2-53</t>
  </si>
  <si>
    <t>Eqn 2-54</t>
  </si>
  <si>
    <t>Eqn 2-55</t>
  </si>
  <si>
    <t>Eqn 2-56</t>
  </si>
  <si>
    <t>Eqn 2-57</t>
  </si>
  <si>
    <t>Eqn 2-58</t>
  </si>
  <si>
    <t>Eqn 2-59</t>
  </si>
  <si>
    <t>Eqn 2-60</t>
  </si>
  <si>
    <t>Eqn 2-62 thru 2-64</t>
  </si>
  <si>
    <t>Eqn 2-65 thru 2-68</t>
  </si>
  <si>
    <t>Eqn 2-69 thru 2-72</t>
  </si>
  <si>
    <t>Eqn 2-73 thru 2-76</t>
  </si>
  <si>
    <t>Eqn 2-77 thru 2-80</t>
  </si>
  <si>
    <t>Eqn 2-81 thru 2-83</t>
  </si>
  <si>
    <t>Eqn 2-84</t>
  </si>
  <si>
    <t>Eqn 2-85</t>
  </si>
  <si>
    <t>Eqn 2-86</t>
  </si>
  <si>
    <t>Eqn 2-88</t>
  </si>
  <si>
    <t>Determined using Excel NORMSDIST function with Z from Eqn 2-88 for each level</t>
  </si>
  <si>
    <t>Eqns 2-89 thru 2-90</t>
  </si>
  <si>
    <t>Eqn 2-91</t>
  </si>
  <si>
    <t>Eqn 2-92</t>
  </si>
  <si>
    <t>Eqn 2-93</t>
  </si>
  <si>
    <t>Determined using Excel NORMSDIST function with Z from Eqn 2-93</t>
  </si>
  <si>
    <t>Equation Number</t>
  </si>
  <si>
    <t>2-29a</t>
  </si>
  <si>
    <t>2-29b</t>
  </si>
  <si>
    <t>2-30a</t>
  </si>
  <si>
    <t>2-30b</t>
  </si>
  <si>
    <t>2-32a</t>
  </si>
  <si>
    <t>2-32b</t>
  </si>
  <si>
    <t>2-33a</t>
  </si>
  <si>
    <t>2-33b</t>
  </si>
  <si>
    <t>2-34a</t>
  </si>
  <si>
    <t>2-34b</t>
  </si>
  <si>
    <t>2-36a</t>
  </si>
  <si>
    <t>2-36b</t>
  </si>
  <si>
    <t>2-37a</t>
  </si>
  <si>
    <t>2-37b</t>
  </si>
  <si>
    <t>2-39a</t>
  </si>
  <si>
    <t>2-39b</t>
  </si>
  <si>
    <t>2-40a</t>
  </si>
  <si>
    <t>2-40b</t>
  </si>
  <si>
    <t>2-41a</t>
  </si>
  <si>
    <t>2-41b</t>
  </si>
  <si>
    <t>2-42a*</t>
  </si>
  <si>
    <t>2-42b**</t>
  </si>
  <si>
    <t>*Not part of the Simplified Kingery Airblast Calculations Document</t>
  </si>
  <si>
    <t>** Not part of the Simplified Kingery Airblast Calculations Document.  Curve fit by Susan based on converting English Unit Equation results.</t>
  </si>
  <si>
    <t>2-43a</t>
  </si>
  <si>
    <t>2-43b</t>
  </si>
  <si>
    <t>2-44a</t>
  </si>
  <si>
    <t>2-44b</t>
  </si>
  <si>
    <t>2-45a</t>
  </si>
  <si>
    <t>2-45b</t>
  </si>
  <si>
    <t>2-46a</t>
  </si>
  <si>
    <t>2-46b</t>
  </si>
  <si>
    <t>2-47a</t>
  </si>
  <si>
    <t>2-47b</t>
  </si>
  <si>
    <t>2-50a</t>
  </si>
  <si>
    <t>2-50b*</t>
  </si>
  <si>
    <t>* Equation not in BEC v6.3 or earlier.  Developed by Susan to correspond to English unit equation.</t>
  </si>
  <si>
    <t>2-51a</t>
  </si>
  <si>
    <t>2-51b*</t>
  </si>
  <si>
    <t>2-52a</t>
  </si>
  <si>
    <t>2-52b*</t>
  </si>
  <si>
    <r>
      <t>Scaled Time of Arrival, t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>/Y</t>
    </r>
    <r>
      <rPr>
        <vertAlign val="subscript"/>
        <sz val="12"/>
        <rFont val="Times New Roman"/>
        <family val="1"/>
      </rPr>
      <t>P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(ms/lb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or ms/kg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</si>
  <si>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t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>/H</t>
    </r>
    <r>
      <rPr>
        <vertAlign val="subscript"/>
        <sz val="12"/>
        <rFont val="Times New Roman"/>
        <family val="1"/>
      </rPr>
      <t>P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= Function (Z</t>
    </r>
    <r>
      <rPr>
        <vertAlign val="subscript"/>
        <sz val="12"/>
        <rFont val="Times New Roman"/>
        <family val="1"/>
      </rPr>
      <t>eff,P,s</t>
    </r>
    <r>
      <rPr>
        <sz val="12"/>
        <rFont val="Times New Roman"/>
        <family val="1"/>
      </rPr>
      <t>)</t>
    </r>
  </si>
  <si>
    <r>
      <t>P</t>
    </r>
    <r>
      <rPr>
        <vertAlign val="subscript"/>
        <sz val="12"/>
        <rFont val="Times New Roman"/>
        <family val="1"/>
      </rPr>
      <t>so</t>
    </r>
    <r>
      <rPr>
        <sz val="12"/>
        <rFont val="Times New Roman"/>
        <family val="1"/>
      </rPr>
      <t xml:space="preserve"> = Function (Z</t>
    </r>
    <r>
      <rPr>
        <vertAlign val="subscript"/>
        <sz val="12"/>
        <rFont val="Times New Roman"/>
        <family val="1"/>
      </rPr>
      <t>eff,P,s</t>
    </r>
    <r>
      <rPr>
        <sz val="12"/>
        <rFont val="Times New Roman"/>
        <family val="1"/>
      </rPr>
      <t>)</t>
    </r>
  </si>
  <si>
    <r>
      <t>P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= Function (Z</t>
    </r>
    <r>
      <rPr>
        <vertAlign val="subscript"/>
        <sz val="12"/>
        <rFont val="Times New Roman"/>
        <family val="1"/>
      </rPr>
      <t>eff,P,s</t>
    </r>
    <r>
      <rPr>
        <sz val="12"/>
        <rFont val="Times New Roman"/>
        <family val="1"/>
      </rPr>
      <t>)</t>
    </r>
  </si>
  <si>
    <r>
      <t>t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>/H</t>
    </r>
    <r>
      <rPr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= Function (Z</t>
    </r>
    <r>
      <rPr>
        <vertAlign val="subscript"/>
        <sz val="12"/>
        <rFont val="Times New Roman"/>
        <family val="1"/>
      </rPr>
      <t>eff,I,s</t>
    </r>
    <r>
      <rPr>
        <sz val="12"/>
        <rFont val="Times New Roman"/>
        <family val="1"/>
      </rPr>
      <t>)</t>
    </r>
  </si>
  <si>
    <r>
      <t>i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>/H</t>
    </r>
    <r>
      <rPr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= Function (Z</t>
    </r>
    <r>
      <rPr>
        <vertAlign val="subscript"/>
        <sz val="12"/>
        <rFont val="Times New Roman"/>
        <family val="1"/>
      </rPr>
      <t>eff,I,s</t>
    </r>
    <r>
      <rPr>
        <sz val="12"/>
        <rFont val="Times New Roman"/>
        <family val="1"/>
      </rPr>
      <t>)</t>
    </r>
  </si>
  <si>
    <r>
      <t>i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>/H</t>
    </r>
    <r>
      <rPr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= Function (Z</t>
    </r>
    <r>
      <rPr>
        <vertAlign val="subscript"/>
        <sz val="12"/>
        <rFont val="Times New Roman"/>
        <family val="1"/>
      </rPr>
      <t>eff,I,s</t>
    </r>
    <r>
      <rPr>
        <sz val="12"/>
        <rFont val="Times New Roman"/>
        <family val="1"/>
      </rPr>
      <t>)</t>
    </r>
  </si>
  <si>
    <r>
      <t>q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= Function (Z</t>
    </r>
    <r>
      <rPr>
        <vertAlign val="subscript"/>
        <sz val="12"/>
        <rFont val="Times New Roman"/>
        <family val="1"/>
      </rPr>
      <t>eff,I,s</t>
    </r>
    <r>
      <rPr>
        <sz val="12"/>
        <rFont val="Times New Roman"/>
        <family val="1"/>
      </rPr>
      <t>)</t>
    </r>
  </si>
  <si>
    <r>
      <t>Scaled Dynamic Impulse, i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>/H</t>
    </r>
    <r>
      <rPr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(psi-ms/lb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or kPa-ms/kg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</si>
  <si>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i</t>
    </r>
    <r>
      <rPr>
        <vertAlign val="subscript"/>
        <sz val="12"/>
        <rFont val="Times New Roman"/>
        <family val="1"/>
      </rPr>
      <t>o/</t>
    </r>
    <r>
      <rPr>
        <sz val="12"/>
        <rFont val="Times New Roman"/>
        <family val="1"/>
      </rPr>
      <t>H</t>
    </r>
    <r>
      <rPr>
        <vertAlign val="subscript"/>
        <sz val="12"/>
        <rFont val="Times New Roman"/>
        <family val="1"/>
      </rPr>
      <t>i,alt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= Function (Z</t>
    </r>
    <r>
      <rPr>
        <vertAlign val="subscript"/>
        <sz val="12"/>
        <rFont val="Times New Roman"/>
        <family val="1"/>
      </rPr>
      <t>eff,I,s</t>
    </r>
    <r>
      <rPr>
        <sz val="12"/>
        <rFont val="Times New Roman"/>
        <family val="1"/>
      </rPr>
      <t>)</t>
    </r>
  </si>
  <si>
    <r>
      <t>Incident Pressure, P</t>
    </r>
    <r>
      <rPr>
        <vertAlign val="subscript"/>
        <sz val="12"/>
        <rFont val="Times New Roman"/>
        <family val="1"/>
      </rPr>
      <t>so</t>
    </r>
    <r>
      <rPr>
        <sz val="12"/>
        <rFont val="Times New Roman"/>
        <family val="1"/>
      </rPr>
      <t xml:space="preserve"> (psi or kPa)</t>
    </r>
  </si>
  <si>
    <r>
      <t>Reflected Pressure, P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(psi or kPa)</t>
    </r>
  </si>
  <si>
    <r>
      <t xml:space="preserve"> Scaled Positive Phase Duration, t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>/Y</t>
    </r>
    <r>
      <rPr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(ms/lb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or ms/kg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</si>
  <si>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Scaled Incident Impulse, i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>/H</t>
    </r>
    <r>
      <rPr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(psi-ms/lb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or kPa-ms/kg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</si>
  <si>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Scaled Reflected Impulse, i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>/H</t>
    </r>
    <r>
      <rPr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(psi-ms/lb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or kPa-ms/kg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</si>
  <si>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Dynamic Overpressure, q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(psi or kPa)</t>
    </r>
  </si>
  <si>
    <r>
      <t>Table 2-3 Scaled Time of Arrival (ms/lb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 xml:space="preserve"> or ms/kg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>)</t>
    </r>
  </si>
  <si>
    <t>Table 2-4 Incident Overpressure (psi or kPa)</t>
  </si>
  <si>
    <t>Table 2-5 Reflected Pressure (psi or kPa)</t>
  </si>
  <si>
    <r>
      <t>Table 2-6 Scaled Positive Phase Duration (ms/lb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 xml:space="preserve"> or ms/kg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>)</t>
    </r>
  </si>
  <si>
    <r>
      <t>Table 2-7 Scaled Incident Impulse (psi/ms/lb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 xml:space="preserve"> or kPa-ms/kg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>)</t>
    </r>
  </si>
  <si>
    <t>Table 2-9 Dynamic Overpressure (psi or kPa)</t>
  </si>
  <si>
    <r>
      <t>Table 2-10 Scaled Dynamic Impulse (psi-ms/lb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 xml:space="preserve"> or kPa-ms/kg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>)</t>
    </r>
  </si>
  <si>
    <t>2-31b</t>
  </si>
  <si>
    <t>2-31a</t>
  </si>
  <si>
    <t>Soln, S(x)</t>
  </si>
  <si>
    <r>
      <t>t</t>
    </r>
    <r>
      <rPr>
        <vertAlign val="subscript"/>
        <sz val="12"/>
        <rFont val="Times New Roman"/>
        <family val="1"/>
      </rPr>
      <t>A/</t>
    </r>
    <r>
      <rPr>
        <sz val="12"/>
        <rFont val="Times New Roman"/>
        <family val="1"/>
      </rPr>
      <t>(H</t>
    </r>
    <r>
      <rPr>
        <vertAlign val="subscript"/>
        <sz val="12"/>
        <rFont val="Times New Roman"/>
        <family val="1"/>
      </rPr>
      <t>P,alt</t>
    </r>
    <r>
      <rPr>
        <sz val="12"/>
        <rFont val="Times New Roman"/>
        <family val="1"/>
      </rPr>
      <t>)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= 0.6559951*[ Z</t>
    </r>
    <r>
      <rPr>
        <vertAlign val="subscript"/>
        <sz val="12"/>
        <rFont val="Times New Roman"/>
        <family val="1"/>
      </rPr>
      <t>eff.P,s</t>
    </r>
    <r>
      <rPr>
        <sz val="12"/>
        <rFont val="Times New Roman"/>
        <family val="1"/>
      </rPr>
      <t>]</t>
    </r>
    <r>
      <rPr>
        <vertAlign val="superscript"/>
        <sz val="12"/>
        <rFont val="Times New Roman"/>
        <family val="1"/>
      </rPr>
      <t>1.0478</t>
    </r>
  </si>
  <si>
    <t>Final S(x) based 
on Z</t>
  </si>
  <si>
    <t>Total NEW (kg)</t>
  </si>
  <si>
    <t>NEW per Munition (kg)</t>
  </si>
  <si>
    <t>TNT Eq. NEW for Calcs -- Pressure (kg)</t>
  </si>
  <si>
    <t>TNT Eq. NEW for Calcs -- Impulse (kg)</t>
  </si>
  <si>
    <t>Eq. Hemispherical Weight (Pressure) (kg)</t>
  </si>
  <si>
    <t>Eq. Hemispherical Weight (Impulse) (kg)</t>
  </si>
  <si>
    <t>Altitude (meters)</t>
  </si>
  <si>
    <t>NEW (kg)</t>
  </si>
  <si>
    <r>
      <t>Z</t>
    </r>
    <r>
      <rPr>
        <vertAlign val="subscript"/>
        <sz val="12"/>
        <rFont val="Times New Roman"/>
        <family val="1"/>
      </rPr>
      <t>eff,P,s</t>
    </r>
  </si>
  <si>
    <t>2-38a</t>
  </si>
  <si>
    <r>
      <t>P</t>
    </r>
    <r>
      <rPr>
        <vertAlign val="subscript"/>
        <sz val="12"/>
        <rFont val="Times New Roman"/>
        <family val="1"/>
      </rPr>
      <t xml:space="preserve">r </t>
    </r>
    <r>
      <rPr>
        <sz val="12"/>
        <rFont val="Times New Roman"/>
        <family val="1"/>
      </rPr>
      <t>= 2*P</t>
    </r>
    <r>
      <rPr>
        <vertAlign val="subscript"/>
        <sz val="12"/>
        <rFont val="Times New Roman"/>
        <family val="1"/>
      </rPr>
      <t>so</t>
    </r>
  </si>
  <si>
    <r>
      <t>Z</t>
    </r>
    <r>
      <rPr>
        <vertAlign val="subscript"/>
        <sz val="12"/>
        <rFont val="Times New Roman"/>
        <family val="1"/>
      </rPr>
      <t>eff,I,s</t>
    </r>
  </si>
  <si>
    <r>
      <t>t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>/H</t>
    </r>
    <r>
      <rPr>
        <vertAlign val="subscript"/>
        <sz val="12"/>
        <rFont val="Times New Roman"/>
        <family val="1"/>
      </rPr>
      <t>I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= 1.0029*S(x)</t>
    </r>
  </si>
  <si>
    <r>
      <t>Table 2-8 Scaled Reflected Impulse (psi/ms/lb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 xml:space="preserve"> or kPa-ms/kg</t>
    </r>
    <r>
      <rPr>
        <b/>
        <vertAlign val="superscript"/>
        <sz val="12"/>
        <rFont val="Times New Roman"/>
        <family val="1"/>
      </rPr>
      <t>1/3</t>
    </r>
    <r>
      <rPr>
        <b/>
        <sz val="12"/>
        <rFont val="Times New Roman"/>
        <family val="1"/>
      </rPr>
      <t>)</t>
    </r>
  </si>
  <si>
    <t>2-63a</t>
  </si>
  <si>
    <r>
      <t>p</t>
    </r>
    <r>
      <rPr>
        <vertAlign val="subscript"/>
        <sz val="10"/>
        <rFont val="Times New Roman"/>
        <family val="1"/>
      </rPr>
      <t>w</t>
    </r>
    <r>
      <rPr>
        <sz val="10"/>
        <rFont val="Times New Roman"/>
        <family val="1"/>
      </rPr>
      <t>/100 = Function (P</t>
    </r>
    <r>
      <rPr>
        <vertAlign val="subscript"/>
        <sz val="10"/>
        <rFont val="Times New Roman"/>
        <family val="1"/>
      </rPr>
      <t>so</t>
    </r>
    <r>
      <rPr>
        <sz val="10"/>
        <rFont val="Times New Roman"/>
        <family val="1"/>
      </rPr>
      <t>)</t>
    </r>
  </si>
  <si>
    <r>
      <t>P</t>
    </r>
    <r>
      <rPr>
        <vertAlign val="subscript"/>
        <sz val="12"/>
        <rFont val="Times New Roman"/>
        <family val="1"/>
      </rPr>
      <t>so</t>
    </r>
  </si>
  <si>
    <r>
      <t>Probablity of Window Breakage, p</t>
    </r>
    <r>
      <rPr>
        <vertAlign val="subscript"/>
        <sz val="10"/>
        <rFont val="Times New Roman"/>
        <family val="1"/>
      </rPr>
      <t>w</t>
    </r>
    <r>
      <rPr>
        <sz val="10"/>
        <rFont val="Times New Roman"/>
        <family val="1"/>
      </rPr>
      <t xml:space="preserve"> (%)</t>
    </r>
  </si>
  <si>
    <r>
      <t>Table 2-11 Probability of Window Breakage (%) for a 2 ft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(0.19 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 Window</t>
    </r>
  </si>
  <si>
    <t>2-62</t>
  </si>
  <si>
    <t>2-64</t>
  </si>
  <si>
    <t>Pso,min</t>
  </si>
  <si>
    <t>Pso,max</t>
  </si>
  <si>
    <r>
      <t>p</t>
    </r>
    <r>
      <rPr>
        <vertAlign val="subscript"/>
        <sz val="12"/>
        <rFont val="Times New Roman"/>
        <family val="1"/>
      </rPr>
      <t>w</t>
    </r>
    <r>
      <rPr>
        <sz val="12"/>
        <rFont val="Times New Roman"/>
        <family val="1"/>
      </rPr>
      <t>/100 = 0.000000001</t>
    </r>
  </si>
  <si>
    <r>
      <t>p</t>
    </r>
    <r>
      <rPr>
        <vertAlign val="subscript"/>
        <sz val="12"/>
        <rFont val="Times New Roman"/>
        <family val="1"/>
      </rPr>
      <t>w</t>
    </r>
    <r>
      <rPr>
        <sz val="12"/>
        <rFont val="Times New Roman"/>
        <family val="1"/>
      </rPr>
      <t>/100 = 1</t>
    </r>
  </si>
  <si>
    <r>
      <t>Table 2-12 Probability of Window Breakage (%) for a 4 ft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(0.37 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 Window</t>
    </r>
  </si>
  <si>
    <t>2-65</t>
  </si>
  <si>
    <t>2-66a</t>
  </si>
  <si>
    <t>2-67a</t>
  </si>
  <si>
    <t>2-68</t>
  </si>
  <si>
    <r>
      <t>Table 2-13 Probability of Window Breakage (%) for a 10.5 ft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(0.98 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 Window</t>
    </r>
  </si>
  <si>
    <t>2-69</t>
  </si>
  <si>
    <t>2-70a</t>
  </si>
  <si>
    <t>2-71a</t>
  </si>
  <si>
    <t>2-72</t>
  </si>
  <si>
    <r>
      <t>Table 2-14 Probability of Window Breakage (%) for a 17.5 ft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(1.625 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 Window</t>
    </r>
  </si>
  <si>
    <t>2-73</t>
  </si>
  <si>
    <t>2-74a</t>
  </si>
  <si>
    <t>2-75a</t>
  </si>
  <si>
    <t>2-76</t>
  </si>
  <si>
    <r>
      <t>Table 2-15 Probability of Window Breakage (%) for a 30 ft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(2.8 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 Window</t>
    </r>
  </si>
  <si>
    <t>2-77</t>
  </si>
  <si>
    <t>2-78a</t>
  </si>
  <si>
    <t>2-79a</t>
  </si>
  <si>
    <t>2-80</t>
  </si>
  <si>
    <r>
      <t>Table 2-16 Probability of Window Breakage (%) for a 50 ft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(4.64 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 Window</t>
    </r>
  </si>
  <si>
    <t>2-81</t>
  </si>
  <si>
    <t>2-82a</t>
  </si>
  <si>
    <t>2-83</t>
  </si>
  <si>
    <t>Table 2-17 Scaled Distance, Q, for Eardrum Rupture</t>
  </si>
  <si>
    <r>
      <t>Q</t>
    </r>
    <r>
      <rPr>
        <sz val="10"/>
        <rFont val="Times New Roman"/>
        <family val="1"/>
      </rPr>
      <t xml:space="preserve"> = Function (P</t>
    </r>
    <r>
      <rPr>
        <vertAlign val="subscript"/>
        <sz val="10"/>
        <rFont val="Times New Roman"/>
        <family val="1"/>
      </rPr>
      <t>so</t>
    </r>
    <r>
      <rPr>
        <sz val="10"/>
        <rFont val="Times New Roman"/>
        <family val="1"/>
      </rPr>
      <t>)</t>
    </r>
  </si>
  <si>
    <t>2-87a</t>
  </si>
  <si>
    <t>Scaled Distance for Eardrum Rupture Approximation</t>
  </si>
  <si>
    <t>Eqn 2-87</t>
  </si>
  <si>
    <t>Pressure (kPa)</t>
  </si>
  <si>
    <t>Distance to Exposed Site (m)</t>
  </si>
  <si>
    <t>Incident Pressure at Distance (kPa)</t>
  </si>
  <si>
    <t>Reflected Press. at Distance (kPa)</t>
  </si>
  <si>
    <t xml:space="preserve"> at Distance (kPa-ms)</t>
  </si>
  <si>
    <t xml:space="preserve"> at Distance (kPa)</t>
  </si>
  <si>
    <r>
      <t>Area = 0.19 m</t>
    </r>
    <r>
      <rPr>
        <vertAlign val="superscript"/>
        <sz val="12"/>
        <rFont val="Times New Roman"/>
        <family val="1"/>
      </rPr>
      <t>2</t>
    </r>
  </si>
  <si>
    <t>30.5 cm x 61 cm x 0.224 cm</t>
  </si>
  <si>
    <r>
      <t>Area = 0.37 m</t>
    </r>
    <r>
      <rPr>
        <vertAlign val="superscript"/>
        <sz val="12"/>
        <rFont val="Times New Roman"/>
        <family val="1"/>
      </rPr>
      <t>2</t>
    </r>
  </si>
  <si>
    <t>61 cm x 61 cm x 0.224 cm</t>
  </si>
  <si>
    <r>
      <t>Area = 0.98 m</t>
    </r>
    <r>
      <rPr>
        <vertAlign val="superscript"/>
        <sz val="12"/>
        <rFont val="Times New Roman"/>
        <family val="1"/>
      </rPr>
      <t>2</t>
    </r>
  </si>
  <si>
    <t>107 cm x 160 cm x 0.3 cm</t>
  </si>
  <si>
    <r>
      <t>Area = 1.625  m</t>
    </r>
    <r>
      <rPr>
        <vertAlign val="superscript"/>
        <sz val="12"/>
        <rFont val="Times New Roman"/>
        <family val="1"/>
      </rPr>
      <t>2</t>
    </r>
  </si>
  <si>
    <t>152.5 cm x 107 cm x 0.56 cm</t>
  </si>
  <si>
    <r>
      <t>Area = 2.8  m</t>
    </r>
    <r>
      <rPr>
        <vertAlign val="superscript"/>
        <sz val="12"/>
        <rFont val="Times New Roman"/>
        <family val="1"/>
      </rPr>
      <t>2</t>
    </r>
  </si>
  <si>
    <t>183 cm x 152.5 cm x 0.56 cm</t>
  </si>
  <si>
    <r>
      <t>Area = 4.64  m</t>
    </r>
    <r>
      <rPr>
        <vertAlign val="superscript"/>
        <sz val="12"/>
        <rFont val="Times New Roman"/>
        <family val="1"/>
      </rPr>
      <t>2</t>
    </r>
  </si>
  <si>
    <t>305 cm x 152.5 cm x 0.76 cm</t>
  </si>
  <si>
    <t>Total NEW, W (kg)</t>
  </si>
  <si>
    <t>Distance to ES, R (m)</t>
  </si>
  <si>
    <t>NEW per Munition, Ws (kg)</t>
  </si>
  <si>
    <r>
      <t>Scaled Distance at Alt, Z</t>
    </r>
    <r>
      <rPr>
        <vertAlign val="subscript"/>
        <sz val="12"/>
        <rFont val="Times New Roman"/>
        <family val="1"/>
      </rPr>
      <t>alt</t>
    </r>
    <r>
      <rPr>
        <sz val="12"/>
        <rFont val="Times New Roman"/>
        <family val="1"/>
      </rPr>
      <t xml:space="preserve"> = R/W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</si>
  <si>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TNT Eq Wt for Calcs (Pressure), W</t>
    </r>
    <r>
      <rPr>
        <vertAlign val="subscript"/>
        <sz val="12"/>
        <rFont val="Times New Roman"/>
        <family val="1"/>
      </rPr>
      <t>TNT,calc,P</t>
    </r>
    <r>
      <rPr>
        <sz val="12"/>
        <rFont val="Times New Roman"/>
        <family val="1"/>
      </rPr>
      <t xml:space="preserve"> (kg)</t>
    </r>
  </si>
  <si>
    <r>
      <t>TNT Eq Wt for Calcs (Impulse), W</t>
    </r>
    <r>
      <rPr>
        <vertAlign val="subscript"/>
        <sz val="12"/>
        <rFont val="Times New Roman"/>
        <family val="1"/>
      </rPr>
      <t>TNT,calc,I</t>
    </r>
    <r>
      <rPr>
        <sz val="12"/>
        <rFont val="Times New Roman"/>
        <family val="1"/>
      </rPr>
      <t xml:space="preserve"> (kg)</t>
    </r>
  </si>
  <si>
    <t>-- Equivalent Yield of a Hemispherical Surface Burst at Altitude (kg) --</t>
  </si>
  <si>
    <r>
      <t xml:space="preserve">     + Pressure, H</t>
    </r>
    <r>
      <rPr>
        <vertAlign val="subscript"/>
        <sz val="12"/>
        <rFont val="Times New Roman"/>
        <family val="1"/>
      </rPr>
      <t>P, alt</t>
    </r>
    <r>
      <rPr>
        <sz val="12"/>
        <rFont val="Times New Roman"/>
        <family val="1"/>
      </rPr>
      <t xml:space="preserve"> (kg)</t>
    </r>
  </si>
  <si>
    <r>
      <t>Scaled Distance, Zalt 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 =</t>
    </r>
  </si>
  <si>
    <t>Total NEW (kg) =</t>
  </si>
  <si>
    <r>
      <t xml:space="preserve">     + Impulse, H</t>
    </r>
    <r>
      <rPr>
        <vertAlign val="subscript"/>
        <sz val="12"/>
        <rFont val="Times New Roman"/>
        <family val="1"/>
      </rPr>
      <t>I, alt</t>
    </r>
    <r>
      <rPr>
        <sz val="12"/>
        <rFont val="Times New Roman"/>
        <family val="1"/>
      </rPr>
      <t xml:space="preserve"> (kg)</t>
    </r>
  </si>
  <si>
    <t>Atm Pressure  at entered altitude (kPa)</t>
  </si>
  <si>
    <t>Atm Pressure (kPa)</t>
  </si>
  <si>
    <t>Equiv. Distance to ES, Rs (m)</t>
  </si>
  <si>
    <r>
      <t>Scaled Distance, Z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 xml:space="preserve"> = Z</t>
    </r>
    <r>
      <rPr>
        <vertAlign val="subscript"/>
        <sz val="12"/>
        <rFont val="Times New Roman"/>
        <family val="1"/>
      </rPr>
      <t>alt</t>
    </r>
    <r>
      <rPr>
        <sz val="12"/>
        <rFont val="Times New Roman"/>
        <family val="1"/>
      </rPr>
      <t>/S</t>
    </r>
    <r>
      <rPr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</si>
  <si>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t>2-38b</t>
  </si>
  <si>
    <t>2-63b</t>
  </si>
  <si>
    <t>2-66b</t>
  </si>
  <si>
    <t>2-67b</t>
  </si>
  <si>
    <t>2-70b</t>
  </si>
  <si>
    <t>2-71b</t>
  </si>
  <si>
    <t>2-74b</t>
  </si>
  <si>
    <t>2-75b</t>
  </si>
  <si>
    <t>2-78b</t>
  </si>
  <si>
    <t>2-79b</t>
  </si>
  <si>
    <t>2-82b</t>
  </si>
  <si>
    <t>2-87b</t>
  </si>
  <si>
    <r>
      <t>-- Effective Scaled Distance at Sea Level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 --</t>
    </r>
  </si>
  <si>
    <r>
      <t xml:space="preserve">        Pressure, Z</t>
    </r>
    <r>
      <rPr>
        <vertAlign val="subscript"/>
        <sz val="12"/>
        <rFont val="Times New Roman"/>
        <family val="1"/>
      </rPr>
      <t>eff, p, s</t>
    </r>
    <r>
      <rPr>
        <sz val="12"/>
        <rFont val="Times New Roman"/>
        <family val="1"/>
      </rPr>
      <t xml:space="preserve">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</si>
  <si>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 xml:space="preserve">        Impulse, Z</t>
    </r>
    <r>
      <rPr>
        <vertAlign val="subscript"/>
        <sz val="12"/>
        <rFont val="Times New Roman"/>
        <family val="1"/>
      </rPr>
      <t>eff, i, s</t>
    </r>
    <r>
      <rPr>
        <sz val="12"/>
        <rFont val="Times New Roman"/>
        <family val="1"/>
      </rPr>
      <t xml:space="preserve">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</si>
  <si>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 xml:space="preserve">     Overpressure, P</t>
    </r>
    <r>
      <rPr>
        <vertAlign val="subscript"/>
        <sz val="12"/>
        <rFont val="Times New Roman"/>
        <family val="1"/>
      </rPr>
      <t>so</t>
    </r>
    <r>
      <rPr>
        <sz val="12"/>
        <rFont val="Times New Roman"/>
        <family val="1"/>
      </rPr>
      <t xml:space="preserve"> (kPa)</t>
    </r>
  </si>
  <si>
    <r>
      <t xml:space="preserve">     Reflected Pressure, P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(kPa)</t>
    </r>
  </si>
  <si>
    <r>
      <t xml:space="preserve">     Positive Phase Impulse, i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 xml:space="preserve"> (kPa-ms)</t>
    </r>
  </si>
  <si>
    <r>
      <t xml:space="preserve">     Reflected Impulse, i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(kPa-ms)</t>
    </r>
  </si>
  <si>
    <r>
      <t xml:space="preserve">     Dynamic Overpressure, q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(kPa)</t>
    </r>
  </si>
  <si>
    <r>
      <t>Overpressure, P</t>
    </r>
    <r>
      <rPr>
        <vertAlign val="subscript"/>
        <sz val="12"/>
        <rFont val="Times New Roman"/>
        <family val="1"/>
      </rPr>
      <t>so</t>
    </r>
    <r>
      <rPr>
        <sz val="12"/>
        <rFont val="Times New Roman"/>
        <family val="1"/>
      </rPr>
      <t xml:space="preserve"> (kPa)</t>
    </r>
  </si>
  <si>
    <r>
      <t>Reflected Pressure, P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(kPa)</t>
    </r>
  </si>
  <si>
    <r>
      <t>Positive Phase Impulse, i</t>
    </r>
    <r>
      <rPr>
        <vertAlign val="subscript"/>
        <sz val="12"/>
        <rFont val="Times New Roman"/>
        <family val="1"/>
      </rPr>
      <t>s</t>
    </r>
    <r>
      <rPr>
        <sz val="12"/>
        <rFont val="Times New Roman"/>
        <family val="1"/>
      </rPr>
      <t xml:space="preserve"> (kPa-ms)</t>
    </r>
  </si>
  <si>
    <r>
      <t>Reflected Impulse, i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(kPa-ms)</t>
    </r>
  </si>
  <si>
    <r>
      <t>Dynamic Overpressure, q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(kPa)</t>
    </r>
  </si>
  <si>
    <r>
      <t>Dynamic Impulse, i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(kPa-ms)</t>
    </r>
  </si>
  <si>
    <r>
      <t xml:space="preserve">     Dynamic Impulse, i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(psi-ms)</t>
    </r>
  </si>
  <si>
    <r>
      <t xml:space="preserve">     Dynamic Impulse, i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(kPa-ms)</t>
    </r>
  </si>
  <si>
    <r>
      <t>Q approximation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</si>
  <si>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>Q approximation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</si>
  <si>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t>Table 2-1b. Pressure and Impulse Yield Functions for Open Storage</t>
  </si>
  <si>
    <t>Table 2-2b. Pressure and Impulse Yield Functions for PES other than Open Storage</t>
  </si>
  <si>
    <t>Pscaled (psi)</t>
  </si>
  <si>
    <t>Iscaled (psi-ms)</t>
  </si>
  <si>
    <t>Atm Pressure at entered altitude (psi)</t>
  </si>
  <si>
    <t>Altitude at entered pressure (ft)</t>
  </si>
  <si>
    <t>Altitude at entered pressure (m)</t>
  </si>
  <si>
    <t>(meters)</t>
  </si>
  <si>
    <t>(kPa-ms)</t>
  </si>
  <si>
    <t>Munition Types</t>
  </si>
  <si>
    <t>Box 1 - Check for NEW limitations of PES Testing</t>
  </si>
  <si>
    <t>-- Display --</t>
  </si>
  <si>
    <t>Box 2 - Display additional HPM Limitations if HPM Possible</t>
  </si>
  <si>
    <t>Box 3 - Scaled Distance Warnings</t>
  </si>
  <si>
    <t>Scaled Distance - WARNING</t>
  </si>
  <si>
    <t>Min</t>
  </si>
  <si>
    <t>Max</t>
  </si>
  <si>
    <t>Bulk Light Case by PES</t>
  </si>
  <si>
    <t>--  Display  --</t>
  </si>
  <si>
    <r>
      <t>Pressure, Z</t>
    </r>
    <r>
      <rPr>
        <vertAlign val="subscript"/>
        <sz val="12"/>
        <rFont val="Times New Roman"/>
        <family val="1"/>
      </rPr>
      <t>eff, p, s</t>
    </r>
    <r>
      <rPr>
        <sz val="12"/>
        <rFont val="Times New Roman"/>
        <family val="1"/>
      </rPr>
      <t xml:space="preserve"> (m/kg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) = </t>
    </r>
  </si>
  <si>
    <r>
      <t>Pressure, Z</t>
    </r>
    <r>
      <rPr>
        <vertAlign val="subscript"/>
        <sz val="12"/>
        <rFont val="Times New Roman"/>
        <family val="1"/>
      </rPr>
      <t>eff, p, s</t>
    </r>
    <r>
      <rPr>
        <sz val="12"/>
        <rFont val="Times New Roman"/>
        <family val="1"/>
      </rPr>
      <t xml:space="preserve">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) = </t>
    </r>
  </si>
  <si>
    <r>
      <t xml:space="preserve">        Pressure, Z</t>
    </r>
    <r>
      <rPr>
        <vertAlign val="subscript"/>
        <sz val="12"/>
        <rFont val="Times New Roman"/>
        <family val="1"/>
      </rPr>
      <t>eff, p, s</t>
    </r>
    <r>
      <rPr>
        <sz val="12"/>
        <rFont val="Times New Roman"/>
        <family val="1"/>
      </rPr>
      <t xml:space="preserve">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</si>
  <si>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r>
      <t xml:space="preserve">        Impulse, Z</t>
    </r>
    <r>
      <rPr>
        <vertAlign val="subscript"/>
        <sz val="12"/>
        <rFont val="Times New Roman"/>
        <family val="1"/>
      </rPr>
      <t>eff, i, s</t>
    </r>
    <r>
      <rPr>
        <sz val="12"/>
        <rFont val="Times New Roman"/>
        <family val="1"/>
      </rPr>
      <t xml:space="preserve">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>)</t>
    </r>
  </si>
  <si>
    <t>Max Total NEW (kg)</t>
  </si>
  <si>
    <t>Max Total NEW (lb)</t>
  </si>
  <si>
    <t>Type of Explosive</t>
  </si>
  <si>
    <t>Distance to ES (m)</t>
  </si>
  <si>
    <t>Potential Explosion Site (PES)</t>
  </si>
  <si>
    <t>(converts English Unit Worksheet into Metric Units)</t>
  </si>
  <si>
    <t>Metric Units (kg, m, kPa, kPa-ms, ms, °C)</t>
  </si>
  <si>
    <t>Susan D. Hamilton, PE</t>
  </si>
  <si>
    <t>256-895-1658</t>
  </si>
  <si>
    <t>Susan.D.Hamilton@usace.army.mil</t>
  </si>
  <si>
    <t xml:space="preserve">        Enter TNT Equivalents</t>
  </si>
  <si>
    <t xml:space="preserve">Pressure      </t>
  </si>
  <si>
    <t xml:space="preserve">Impulse      </t>
  </si>
  <si>
    <t>Enter Temperature (°F)</t>
  </si>
  <si>
    <t>SEA 
LEVEL</t>
  </si>
  <si>
    <t>WINDOW BREAKAGE</t>
  </si>
  <si>
    <t>EARDRUM RUPTURE</t>
  </si>
  <si>
    <t>LUNG RUPTURE</t>
  </si>
  <si>
    <t>Probability of Eardrum Rupture (percent) at Sea Level Distance</t>
  </si>
  <si>
    <t>Probability of Window Breakage (percent) at Sea Level Distance</t>
  </si>
  <si>
    <t>Probability of lethality due to lung damage (percent) at Sea Level Distance</t>
  </si>
  <si>
    <t xml:space="preserve">                    Minor Damage</t>
  </si>
  <si>
    <t xml:space="preserve">                    Moderate Damage</t>
  </si>
  <si>
    <t xml:space="preserve">                    Major Damage</t>
  </si>
  <si>
    <t>Distance for Summary Table (m)</t>
  </si>
  <si>
    <t>500 lb Mk 82 Bomb</t>
  </si>
  <si>
    <t>1000 lb Mk 83 Bomb</t>
  </si>
  <si>
    <t>2000 lb Mk 84 Bomb</t>
  </si>
  <si>
    <t>750 lb M117 Bomb</t>
  </si>
  <si>
    <t>105 mm M1 Projectile</t>
  </si>
  <si>
    <t>40 mm Mk 2 Projectile</t>
  </si>
  <si>
    <t>155 mm M107 Projectile</t>
  </si>
  <si>
    <t>SPARROW Missile (WAU-17)</t>
  </si>
  <si>
    <t>Bulk Light Cased: Standard</t>
  </si>
  <si>
    <t xml:space="preserve"> Open Storage with Selected Munition Types</t>
  </si>
  <si>
    <t>Box 3 - Scaled Distance Warnings by PES</t>
  </si>
  <si>
    <t>(Based on Munition Type)</t>
  </si>
  <si>
    <t>Scaling Basis</t>
  </si>
  <si>
    <t>Enter Pressure (psi)</t>
  </si>
  <si>
    <t>Enter Altitude (ft)</t>
  </si>
  <si>
    <t>Enter Pressure (kPa)</t>
  </si>
  <si>
    <t>AboveGround Structure (AGS)--masonry</t>
  </si>
  <si>
    <t>AboveGround Structure (AGS)--concrete</t>
  </si>
  <si>
    <t xml:space="preserve">ISO Container </t>
  </si>
  <si>
    <t>Ship</t>
  </si>
  <si>
    <t>AboveGround Structure (AGS) -- masonry</t>
  </si>
  <si>
    <t>AboveGround Structure (AGS) -- concrete</t>
  </si>
  <si>
    <t>ISO Container</t>
  </si>
  <si>
    <t>Probability of lethality due to lung damage at Sea Level Distance</t>
  </si>
  <si>
    <t xml:space="preserve">Note: The yellow row in the table above highlights the user-entered initial distance for the summary table. </t>
  </si>
  <si>
    <t>Explosive Type Used</t>
  </si>
  <si>
    <t>Enter initial distance for Sea Level Summary Table (ft)</t>
  </si>
  <si>
    <t>Enter initial distance for Altitude Summary Table (ft)</t>
  </si>
  <si>
    <t>(distance to be entered at sea level conditions)</t>
  </si>
  <si>
    <t>(distance to be entered at altitude and temp conditions)</t>
  </si>
  <si>
    <t>AT SEA LEVEL</t>
  </si>
  <si>
    <t>AT ALTITUDE</t>
  </si>
  <si>
    <t>EQ. DISTANCE</t>
  </si>
  <si>
    <r>
      <t>t</t>
    </r>
    <r>
      <rPr>
        <vertAlign val="subscript"/>
        <sz val="12"/>
        <rFont val="Times New Roman"/>
        <family val="1"/>
      </rPr>
      <t>A/</t>
    </r>
    <r>
      <rPr>
        <sz val="12"/>
        <rFont val="Times New Roman"/>
        <family val="1"/>
      </rPr>
      <t>(H</t>
    </r>
    <r>
      <rPr>
        <vertAlign val="subscript"/>
        <sz val="12"/>
        <rFont val="Times New Roman"/>
        <family val="1"/>
      </rPr>
      <t>P,alt</t>
    </r>
    <r>
      <rPr>
        <sz val="12"/>
        <rFont val="Times New Roman"/>
        <family val="1"/>
      </rPr>
      <t>)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 = 2.2495832*[ Z</t>
    </r>
    <r>
      <rPr>
        <vertAlign val="subscript"/>
        <sz val="12"/>
        <rFont val="Times New Roman"/>
        <family val="1"/>
      </rPr>
      <t>eff.P,s</t>
    </r>
    <r>
      <rPr>
        <sz val="12"/>
        <rFont val="Times New Roman"/>
        <family val="1"/>
      </rPr>
      <t>]</t>
    </r>
    <r>
      <rPr>
        <vertAlign val="superscript"/>
        <sz val="12"/>
        <rFont val="Times New Roman"/>
        <family val="1"/>
      </rPr>
      <t>1.0478</t>
    </r>
  </si>
  <si>
    <t>(Note:  Weights and Yields are in lbs of TNT)</t>
  </si>
  <si>
    <t>Lea.A.Cotton.civ@mail.mil</t>
  </si>
  <si>
    <t>DDESB, Policy Development Division</t>
  </si>
  <si>
    <t>571-372-6777</t>
  </si>
  <si>
    <t>DSN 372-6777</t>
  </si>
  <si>
    <t>Enter initial distance for Sea Level Summary Table (m)</t>
  </si>
  <si>
    <t>Enter initial distance for Altitude Summary Table (m)</t>
  </si>
  <si>
    <t>Distance for Summary Table (ft)</t>
  </si>
  <si>
    <t>Distance to Exposed Site (ft)</t>
  </si>
  <si>
    <t>(ft)</t>
  </si>
  <si>
    <t>(m)</t>
  </si>
  <si>
    <t>Enter Altitude (m)</t>
  </si>
  <si>
    <t>Enter Temperature (°C)</t>
  </si>
  <si>
    <t>Distance to ES (ft)</t>
  </si>
  <si>
    <t>ALTITUDE (ft)</t>
  </si>
  <si>
    <t>ALTITUDE (m)</t>
  </si>
  <si>
    <t>(Note:  Weights and Yields are in kgs of TNT)</t>
  </si>
  <si>
    <t>Single Item NEW (kg)</t>
  </si>
  <si>
    <t>Single Item NEW (lbs)</t>
  </si>
  <si>
    <t>See Summary Tables to Right (Cells AS4 through BO60)</t>
  </si>
  <si>
    <t>See Summary Tables to Right (Cells P2 through AL54)</t>
  </si>
  <si>
    <t>See Summary Tables to Right (Cells AS3 through BO60)</t>
  </si>
  <si>
    <r>
      <t>Pressure, Z</t>
    </r>
    <r>
      <rPr>
        <vertAlign val="subscript"/>
        <sz val="12"/>
        <rFont val="Times New Roman"/>
        <family val="1"/>
      </rPr>
      <t>eff, i, s</t>
    </r>
    <r>
      <rPr>
        <sz val="12"/>
        <rFont val="Times New Roman"/>
        <family val="1"/>
      </rPr>
      <t xml:space="preserve"> (ft/lb</t>
    </r>
    <r>
      <rPr>
        <vertAlign val="superscript"/>
        <sz val="12"/>
        <rFont val="Times New Roman"/>
        <family val="1"/>
      </rPr>
      <t>1/3</t>
    </r>
    <r>
      <rPr>
        <sz val="12"/>
        <rFont val="Times New Roman"/>
        <family val="1"/>
      </rPr>
      <t xml:space="preserve">) = </t>
    </r>
  </si>
  <si>
    <t>Standard Edition</t>
  </si>
  <si>
    <t>Tritonal</t>
  </si>
  <si>
    <t>DISTRIBUTION STATEMENT A: Approved for public release; distribution is unlimited.</t>
  </si>
  <si>
    <t>BLAST EFFECTS COMPUTER - OPEN</t>
  </si>
  <si>
    <t>DDESB Technical Paper 20</t>
  </si>
  <si>
    <t>VERSION 1.0</t>
  </si>
  <si>
    <t>30-350</t>
  </si>
  <si>
    <t xml:space="preserve"> 34-6895  </t>
  </si>
  <si>
    <t xml:space="preserve"> 69-690  </t>
  </si>
  <si>
    <t xml:space="preserve"> 34-345  </t>
  </si>
  <si>
    <t>30-700</t>
  </si>
  <si>
    <t xml:space="preserve"> 14-345  </t>
  </si>
  <si>
    <t>11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</si>
</sst>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0.0000"/>
    <numFmt numFmtId="167" formatCode="#,##0.0"/>
    <numFmt numFmtId="168" formatCode="#,##0.0000"/>
    <numFmt numFmtId="169" formatCode="0.0%"/>
    <numFmt numFmtId="170" formatCode="0.00000"/>
    <numFmt numFmtId="171" formatCode="#,##0.000"/>
    <numFmt numFmtId="172" formatCode="#,##0.00000"/>
  </numFmts>
  <fonts count="52" x14ac:knownFonts="1">
    <font>
      <sz val="12"/>
      <name val="Tms Rmn"/>
    </font>
    <font>
      <b/>
      <sz val="12"/>
      <name val="Tms Rmn"/>
    </font>
    <font>
      <b/>
      <sz val="12"/>
      <color indexed="18"/>
      <name val="Times New Roman"/>
      <family val="1"/>
    </font>
    <font>
      <sz val="12"/>
      <color indexed="14"/>
      <name val="Times New Roman"/>
      <family val="1"/>
    </font>
    <font>
      <b/>
      <i/>
      <sz val="24"/>
      <color indexed="11"/>
      <name val="Times New Roman"/>
      <family val="1"/>
    </font>
    <font>
      <b/>
      <sz val="24"/>
      <color indexed="10"/>
      <name val="Times New Roman"/>
      <family val="1"/>
    </font>
    <font>
      <b/>
      <i/>
      <sz val="12"/>
      <name val="Times New Roman"/>
      <family val="1"/>
    </font>
    <font>
      <b/>
      <sz val="14"/>
      <color indexed="10"/>
      <name val="Times New Roman"/>
      <family val="1"/>
    </font>
    <font>
      <sz val="12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b/>
      <sz val="14"/>
      <name val="Times New Roman"/>
      <family val="1"/>
    </font>
    <font>
      <b/>
      <sz val="24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vertAlign val="subscript"/>
      <sz val="12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12"/>
      <name val="Times New Roman"/>
      <family val="1"/>
    </font>
    <font>
      <u/>
      <sz val="12"/>
      <color indexed="12"/>
      <name val="Tms Rmn"/>
    </font>
    <font>
      <b/>
      <sz val="16"/>
      <name val="Times New Roman"/>
      <family val="1"/>
    </font>
    <font>
      <b/>
      <i/>
      <sz val="12"/>
      <color indexed="10"/>
      <name val="Times New Roman"/>
      <family val="1"/>
    </font>
    <font>
      <sz val="8"/>
      <color indexed="63"/>
      <name val="Times New Roman"/>
      <family val="1"/>
    </font>
    <font>
      <sz val="7"/>
      <color indexed="63"/>
      <name val="Times New Roman"/>
      <family val="1"/>
    </font>
    <font>
      <b/>
      <sz val="18"/>
      <color indexed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Tms Rmn"/>
    </font>
    <font>
      <b/>
      <sz val="12"/>
      <color indexed="56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vertAlign val="subscript"/>
      <sz val="10"/>
      <name val="Times New Roman"/>
      <family val="1"/>
    </font>
    <font>
      <i/>
      <sz val="12"/>
      <color indexed="39"/>
      <name val="Times New Roman"/>
      <family val="1"/>
    </font>
    <font>
      <i/>
      <sz val="12"/>
      <color rgb="FFC00000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theme="0" tint="-0.14999847407452621"/>
      <name val="Times New Roman"/>
      <family val="1"/>
    </font>
    <font>
      <b/>
      <sz val="14"/>
      <color rgb="FF0000FF"/>
      <name val="Times New Roman"/>
      <family val="1"/>
    </font>
    <font>
      <sz val="12"/>
      <color theme="0" tint="-4.9989318521683403E-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FF"/>
      <name val="Times New Roman"/>
      <family val="1"/>
    </font>
    <font>
      <sz val="11"/>
      <name val="Calibri"/>
      <family val="2"/>
    </font>
    <font>
      <sz val="12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C00000"/>
      <name val="Times New Roman"/>
      <family val="1"/>
    </font>
    <font>
      <b/>
      <sz val="22"/>
      <color indexed="10"/>
      <name val="Times New Roman"/>
      <family val="1"/>
    </font>
    <font>
      <b/>
      <i/>
      <sz val="22"/>
      <color indexed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16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704">
    <xf numFmtId="0" fontId="0" fillId="0" borderId="0" xfId="0"/>
    <xf numFmtId="0" fontId="15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0" xfId="0" applyFill="1"/>
    <xf numFmtId="0" fontId="15" fillId="2" borderId="1" xfId="0" applyFont="1" applyFill="1" applyBorder="1"/>
    <xf numFmtId="0" fontId="2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1" xfId="0" applyFill="1" applyBorder="1"/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center"/>
    </xf>
    <xf numFmtId="0" fontId="22" fillId="2" borderId="0" xfId="1" applyFill="1" applyBorder="1" applyAlignment="1" applyProtection="1">
      <alignment horizontal="center"/>
    </xf>
    <xf numFmtId="0" fontId="0" fillId="3" borderId="11" xfId="0" applyFill="1" applyBorder="1"/>
    <xf numFmtId="0" fontId="21" fillId="2" borderId="0" xfId="0" applyFont="1" applyFill="1" applyBorder="1" applyAlignment="1">
      <alignment horizontal="left"/>
    </xf>
    <xf numFmtId="0" fontId="22" fillId="2" borderId="0" xfId="1" applyFill="1" applyBorder="1" applyAlignment="1" applyProtection="1">
      <alignment horizontal="left"/>
    </xf>
    <xf numFmtId="0" fontId="15" fillId="4" borderId="0" xfId="0" applyFont="1" applyFill="1"/>
    <xf numFmtId="0" fontId="0" fillId="0" borderId="0" xfId="0" applyFill="1"/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22" xfId="0" applyFont="1" applyBorder="1" applyAlignment="1">
      <alignment horizontal="center" wrapText="1"/>
    </xf>
    <xf numFmtId="2" fontId="10" fillId="0" borderId="0" xfId="0" applyNumberFormat="1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0" fillId="0" borderId="0" xfId="0" applyNumberFormat="1" applyFill="1"/>
    <xf numFmtId="167" fontId="15" fillId="5" borderId="25" xfId="0" applyNumberFormat="1" applyFont="1" applyFill="1" applyBorder="1" applyAlignment="1">
      <alignment horizontal="center"/>
    </xf>
    <xf numFmtId="164" fontId="15" fillId="5" borderId="25" xfId="0" applyNumberFormat="1" applyFont="1" applyFill="1" applyBorder="1" applyAlignment="1">
      <alignment horizontal="center"/>
    </xf>
    <xf numFmtId="4" fontId="15" fillId="5" borderId="25" xfId="0" applyNumberFormat="1" applyFont="1" applyFill="1" applyBorder="1" applyAlignment="1">
      <alignment horizontal="center"/>
    </xf>
    <xf numFmtId="167" fontId="7" fillId="6" borderId="20" xfId="0" applyNumberFormat="1" applyFont="1" applyFill="1" applyBorder="1" applyAlignment="1" applyProtection="1">
      <alignment horizontal="center"/>
      <protection locked="0"/>
    </xf>
    <xf numFmtId="0" fontId="7" fillId="6" borderId="20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5" fillId="7" borderId="0" xfId="0" applyFont="1" applyFill="1"/>
    <xf numFmtId="0" fontId="15" fillId="7" borderId="0" xfId="0" applyFont="1" applyFill="1" applyBorder="1"/>
    <xf numFmtId="167" fontId="15" fillId="7" borderId="0" xfId="0" applyNumberFormat="1" applyFont="1" applyFill="1" applyAlignment="1">
      <alignment horizontal="center"/>
    </xf>
    <xf numFmtId="2" fontId="15" fillId="7" borderId="0" xfId="0" applyNumberFormat="1" applyFont="1" applyFill="1" applyAlignment="1">
      <alignment horizontal="center"/>
    </xf>
    <xf numFmtId="2" fontId="15" fillId="7" borderId="0" xfId="0" applyNumberFormat="1" applyFont="1" applyFill="1"/>
    <xf numFmtId="0" fontId="15" fillId="7" borderId="26" xfId="0" applyFont="1" applyFill="1" applyBorder="1"/>
    <xf numFmtId="0" fontId="14" fillId="7" borderId="27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0" fillId="7" borderId="0" xfId="0" applyFont="1" applyFill="1" applyBorder="1"/>
    <xf numFmtId="0" fontId="15" fillId="7" borderId="28" xfId="0" applyFont="1" applyFill="1" applyBorder="1"/>
    <xf numFmtId="0" fontId="7" fillId="8" borderId="29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left"/>
    </xf>
    <xf numFmtId="0" fontId="15" fillId="7" borderId="0" xfId="0" applyFont="1" applyFill="1" applyAlignment="1">
      <alignment horizontal="right"/>
    </xf>
    <xf numFmtId="2" fontId="15" fillId="7" borderId="0" xfId="0" applyNumberFormat="1" applyFont="1" applyFill="1" applyAlignment="1">
      <alignment horizontal="left"/>
    </xf>
    <xf numFmtId="0" fontId="10" fillId="7" borderId="7" xfId="0" applyFont="1" applyFill="1" applyBorder="1"/>
    <xf numFmtId="0" fontId="15" fillId="7" borderId="7" xfId="0" applyFont="1" applyFill="1" applyBorder="1"/>
    <xf numFmtId="0" fontId="10" fillId="7" borderId="7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31" fillId="7" borderId="0" xfId="0" applyFont="1" applyFill="1" applyBorder="1" applyAlignment="1">
      <alignment horizontal="right"/>
    </xf>
    <xf numFmtId="0" fontId="31" fillId="7" borderId="0" xfId="0" applyFont="1" applyFill="1" applyBorder="1" applyAlignment="1">
      <alignment horizontal="center"/>
    </xf>
    <xf numFmtId="0" fontId="31" fillId="7" borderId="0" xfId="0" applyFont="1" applyFill="1"/>
    <xf numFmtId="0" fontId="31" fillId="7" borderId="0" xfId="0" applyFont="1" applyFill="1" applyBorder="1" applyAlignment="1">
      <alignment horizontal="left"/>
    </xf>
    <xf numFmtId="0" fontId="15" fillId="7" borderId="0" xfId="0" applyFont="1" applyFill="1" applyAlignment="1">
      <alignment horizontal="left"/>
    </xf>
    <xf numFmtId="0" fontId="10" fillId="7" borderId="30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7" borderId="32" xfId="0" applyFont="1" applyFill="1" applyBorder="1" applyAlignment="1">
      <alignment horizontal="center"/>
    </xf>
    <xf numFmtId="0" fontId="15" fillId="7" borderId="31" xfId="0" applyFont="1" applyFill="1" applyBorder="1" applyAlignment="1">
      <alignment horizontal="center"/>
    </xf>
    <xf numFmtId="0" fontId="15" fillId="7" borderId="32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5" fillId="7" borderId="0" xfId="0" applyFont="1" applyFill="1" applyBorder="1" applyAlignment="1">
      <alignment horizontal="right"/>
    </xf>
    <xf numFmtId="0" fontId="15" fillId="7" borderId="0" xfId="0" applyFont="1" applyFill="1" applyBorder="1" applyAlignment="1">
      <alignment horizontal="left"/>
    </xf>
    <xf numFmtId="167" fontId="15" fillId="7" borderId="0" xfId="0" applyNumberFormat="1" applyFont="1" applyFill="1" applyAlignment="1">
      <alignment horizontal="left"/>
    </xf>
    <xf numFmtId="0" fontId="16" fillId="7" borderId="28" xfId="0" applyFont="1" applyFill="1" applyBorder="1"/>
    <xf numFmtId="0" fontId="16" fillId="7" borderId="0" xfId="0" applyFont="1" applyFill="1" applyBorder="1"/>
    <xf numFmtId="0" fontId="16" fillId="7" borderId="29" xfId="0" applyFont="1" applyFill="1" applyBorder="1"/>
    <xf numFmtId="0" fontId="16" fillId="7" borderId="0" xfId="0" applyFont="1" applyFill="1"/>
    <xf numFmtId="0" fontId="15" fillId="7" borderId="33" xfId="0" applyFont="1" applyFill="1" applyBorder="1" applyAlignment="1">
      <alignment horizontal="left"/>
    </xf>
    <xf numFmtId="0" fontId="15" fillId="7" borderId="34" xfId="0" applyFont="1" applyFill="1" applyBorder="1" applyAlignment="1">
      <alignment horizontal="center"/>
    </xf>
    <xf numFmtId="0" fontId="15" fillId="7" borderId="35" xfId="0" applyFont="1" applyFill="1" applyBorder="1" applyAlignment="1">
      <alignment horizontal="center"/>
    </xf>
    <xf numFmtId="0" fontId="15" fillId="7" borderId="33" xfId="0" applyNumberFormat="1" applyFont="1" applyFill="1" applyBorder="1" applyAlignment="1">
      <alignment horizontal="center"/>
    </xf>
    <xf numFmtId="0" fontId="15" fillId="7" borderId="34" xfId="0" applyNumberFormat="1" applyFont="1" applyFill="1" applyBorder="1" applyAlignment="1">
      <alignment horizontal="center"/>
    </xf>
    <xf numFmtId="0" fontId="15" fillId="7" borderId="35" xfId="0" applyNumberFormat="1" applyFont="1" applyFill="1" applyBorder="1" applyAlignment="1">
      <alignment horizontal="center"/>
    </xf>
    <xf numFmtId="0" fontId="15" fillId="7" borderId="33" xfId="0" applyFont="1" applyFill="1" applyBorder="1" applyAlignment="1">
      <alignment horizontal="center"/>
    </xf>
    <xf numFmtId="4" fontId="15" fillId="7" borderId="36" xfId="0" applyNumberFormat="1" applyFont="1" applyFill="1" applyBorder="1" applyAlignment="1">
      <alignment horizontal="center"/>
    </xf>
    <xf numFmtId="4" fontId="15" fillId="7" borderId="37" xfId="0" applyNumberFormat="1" applyFont="1" applyFill="1" applyBorder="1" applyAlignment="1">
      <alignment horizontal="center"/>
    </xf>
    <xf numFmtId="2" fontId="16" fillId="7" borderId="0" xfId="0" applyNumberFormat="1" applyFont="1" applyFill="1" applyAlignment="1">
      <alignment horizontal="center"/>
    </xf>
    <xf numFmtId="2" fontId="16" fillId="7" borderId="0" xfId="0" applyNumberFormat="1" applyFont="1" applyFill="1"/>
    <xf numFmtId="166" fontId="15" fillId="7" borderId="33" xfId="0" applyNumberFormat="1" applyFont="1" applyFill="1" applyBorder="1" applyAlignment="1">
      <alignment horizontal="center"/>
    </xf>
    <xf numFmtId="166" fontId="15" fillId="7" borderId="34" xfId="0" applyNumberFormat="1" applyFont="1" applyFill="1" applyBorder="1" applyAlignment="1">
      <alignment horizontal="center"/>
    </xf>
    <xf numFmtId="166" fontId="15" fillId="7" borderId="35" xfId="0" applyNumberFormat="1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0" xfId="0" applyFont="1" applyFill="1" applyAlignment="1"/>
    <xf numFmtId="167" fontId="10" fillId="7" borderId="0" xfId="0" applyNumberFormat="1" applyFont="1" applyFill="1" applyBorder="1" applyAlignment="1">
      <alignment horizontal="left"/>
    </xf>
    <xf numFmtId="167" fontId="10" fillId="7" borderId="0" xfId="0" applyNumberFormat="1" applyFont="1" applyFill="1" applyBorder="1" applyAlignment="1">
      <alignment horizontal="center"/>
    </xf>
    <xf numFmtId="2" fontId="15" fillId="7" borderId="0" xfId="0" applyNumberFormat="1" applyFont="1" applyFill="1" applyBorder="1" applyAlignment="1">
      <alignment horizontal="center"/>
    </xf>
    <xf numFmtId="2" fontId="27" fillId="7" borderId="0" xfId="0" applyNumberFormat="1" applyFont="1" applyFill="1" applyBorder="1" applyAlignment="1">
      <alignment horizontal="center"/>
    </xf>
    <xf numFmtId="0" fontId="10" fillId="7" borderId="0" xfId="0" applyFont="1" applyFill="1" applyBorder="1" applyAlignment="1">
      <alignment horizontal="left"/>
    </xf>
    <xf numFmtId="0" fontId="12" fillId="8" borderId="0" xfId="0" applyFont="1" applyFill="1" applyBorder="1" applyAlignment="1">
      <alignment horizontal="center"/>
    </xf>
    <xf numFmtId="0" fontId="36" fillId="7" borderId="0" xfId="0" applyFont="1" applyFill="1" applyBorder="1" applyAlignment="1">
      <alignment wrapText="1"/>
    </xf>
    <xf numFmtId="2" fontId="15" fillId="7" borderId="0" xfId="0" applyNumberFormat="1" applyFont="1" applyFill="1" applyAlignment="1"/>
    <xf numFmtId="0" fontId="16" fillId="7" borderId="0" xfId="0" applyFont="1" applyFill="1" applyBorder="1" applyAlignment="1">
      <alignment horizontal="center"/>
    </xf>
    <xf numFmtId="2" fontId="15" fillId="7" borderId="33" xfId="0" applyNumberFormat="1" applyFont="1" applyFill="1" applyBorder="1" applyAlignment="1">
      <alignment horizontal="left"/>
    </xf>
    <xf numFmtId="2" fontId="15" fillId="7" borderId="34" xfId="0" applyNumberFormat="1" applyFont="1" applyFill="1" applyBorder="1" applyAlignment="1">
      <alignment horizontal="center"/>
    </xf>
    <xf numFmtId="2" fontId="24" fillId="7" borderId="38" xfId="0" applyNumberFormat="1" applyFont="1" applyFill="1" applyBorder="1" applyAlignment="1">
      <alignment horizontal="center"/>
    </xf>
    <xf numFmtId="0" fontId="10" fillId="7" borderId="0" xfId="0" applyFont="1" applyFill="1" applyAlignment="1"/>
    <xf numFmtId="0" fontId="17" fillId="7" borderId="29" xfId="0" applyFont="1" applyFill="1" applyBorder="1"/>
    <xf numFmtId="0" fontId="17" fillId="7" borderId="0" xfId="0" applyFont="1" applyFill="1" applyBorder="1"/>
    <xf numFmtId="0" fontId="15" fillId="7" borderId="39" xfId="0" applyFont="1" applyFill="1" applyBorder="1" applyAlignment="1">
      <alignment horizontal="left"/>
    </xf>
    <xf numFmtId="0" fontId="15" fillId="7" borderId="40" xfId="0" applyFont="1" applyFill="1" applyBorder="1" applyAlignment="1">
      <alignment horizontal="center"/>
    </xf>
    <xf numFmtId="0" fontId="15" fillId="7" borderId="41" xfId="0" applyFont="1" applyFill="1" applyBorder="1" applyAlignment="1">
      <alignment horizontal="center"/>
    </xf>
    <xf numFmtId="166" fontId="15" fillId="7" borderId="39" xfId="0" applyNumberFormat="1" applyFont="1" applyFill="1" applyBorder="1" applyAlignment="1">
      <alignment horizontal="center"/>
    </xf>
    <xf numFmtId="166" fontId="15" fillId="7" borderId="40" xfId="0" applyNumberFormat="1" applyFont="1" applyFill="1" applyBorder="1" applyAlignment="1">
      <alignment horizontal="center"/>
    </xf>
    <xf numFmtId="166" fontId="15" fillId="7" borderId="41" xfId="0" applyNumberFormat="1" applyFont="1" applyFill="1" applyBorder="1" applyAlignment="1">
      <alignment horizontal="center"/>
    </xf>
    <xf numFmtId="0" fontId="15" fillId="7" borderId="39" xfId="0" applyFont="1" applyFill="1" applyBorder="1" applyAlignment="1">
      <alignment horizontal="center"/>
    </xf>
    <xf numFmtId="4" fontId="15" fillId="7" borderId="42" xfId="0" applyNumberFormat="1" applyFont="1" applyFill="1" applyBorder="1" applyAlignment="1">
      <alignment horizontal="center"/>
    </xf>
    <xf numFmtId="0" fontId="10" fillId="8" borderId="43" xfId="0" applyFont="1" applyFill="1" applyBorder="1" applyAlignment="1">
      <alignment horizontal="center"/>
    </xf>
    <xf numFmtId="3" fontId="24" fillId="8" borderId="44" xfId="0" applyNumberFormat="1" applyFont="1" applyFill="1" applyBorder="1" applyAlignment="1">
      <alignment horizontal="left"/>
    </xf>
    <xf numFmtId="2" fontId="24" fillId="8" borderId="38" xfId="0" applyNumberFormat="1" applyFont="1" applyFill="1" applyBorder="1" applyAlignment="1">
      <alignment horizontal="left"/>
    </xf>
    <xf numFmtId="2" fontId="24" fillId="7" borderId="38" xfId="0" applyNumberFormat="1" applyFont="1" applyFill="1" applyBorder="1" applyAlignment="1">
      <alignment horizontal="left"/>
    </xf>
    <xf numFmtId="2" fontId="15" fillId="7" borderId="45" xfId="0" applyNumberFormat="1" applyFont="1" applyFill="1" applyBorder="1"/>
    <xf numFmtId="0" fontId="17" fillId="7" borderId="0" xfId="0" applyFont="1" applyFill="1"/>
    <xf numFmtId="0" fontId="15" fillId="7" borderId="46" xfId="0" applyFont="1" applyFill="1" applyBorder="1"/>
    <xf numFmtId="0" fontId="14" fillId="7" borderId="47" xfId="0" applyFont="1" applyFill="1" applyBorder="1" applyAlignment="1">
      <alignment horizontal="center"/>
    </xf>
    <xf numFmtId="167" fontId="10" fillId="7" borderId="48" xfId="0" applyNumberFormat="1" applyFont="1" applyFill="1" applyBorder="1" applyAlignment="1">
      <alignment horizontal="center"/>
    </xf>
    <xf numFmtId="167" fontId="37" fillId="7" borderId="48" xfId="0" applyNumberFormat="1" applyFont="1" applyFill="1" applyBorder="1" applyAlignment="1">
      <alignment horizontal="center"/>
    </xf>
    <xf numFmtId="2" fontId="10" fillId="7" borderId="48" xfId="0" applyNumberFormat="1" applyFont="1" applyFill="1" applyBorder="1" applyAlignment="1">
      <alignment horizontal="center"/>
    </xf>
    <xf numFmtId="0" fontId="15" fillId="7" borderId="29" xfId="0" applyFont="1" applyFill="1" applyBorder="1"/>
    <xf numFmtId="167" fontId="10" fillId="7" borderId="15" xfId="0" applyNumberFormat="1" applyFont="1" applyFill="1" applyBorder="1" applyAlignment="1">
      <alignment horizontal="center"/>
    </xf>
    <xf numFmtId="167" fontId="37" fillId="7" borderId="15" xfId="0" applyNumberFormat="1" applyFont="1" applyFill="1" applyBorder="1" applyAlignment="1">
      <alignment horizontal="center"/>
    </xf>
    <xf numFmtId="2" fontId="10" fillId="7" borderId="15" xfId="0" applyNumberFormat="1" applyFont="1" applyFill="1" applyBorder="1" applyAlignment="1">
      <alignment horizontal="center"/>
    </xf>
    <xf numFmtId="167" fontId="10" fillId="7" borderId="15" xfId="0" quotePrefix="1" applyNumberFormat="1" applyFont="1" applyFill="1" applyBorder="1" applyAlignment="1">
      <alignment horizontal="center"/>
    </xf>
    <xf numFmtId="49" fontId="10" fillId="7" borderId="15" xfId="0" applyNumberFormat="1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Continuous"/>
    </xf>
    <xf numFmtId="0" fontId="12" fillId="7" borderId="29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33" fillId="7" borderId="0" xfId="0" applyFont="1" applyFill="1" applyBorder="1"/>
    <xf numFmtId="4" fontId="15" fillId="7" borderId="0" xfId="0" applyNumberFormat="1" applyFont="1" applyFill="1"/>
    <xf numFmtId="0" fontId="15" fillId="8" borderId="0" xfId="0" applyFont="1" applyFill="1"/>
    <xf numFmtId="2" fontId="15" fillId="7" borderId="0" xfId="0" applyNumberFormat="1" applyFont="1" applyFill="1" applyBorder="1"/>
    <xf numFmtId="0" fontId="15" fillId="7" borderId="0" xfId="0" applyFont="1" applyFill="1" applyBorder="1" applyAlignment="1">
      <alignment horizontal="centerContinuous"/>
    </xf>
    <xf numFmtId="168" fontId="15" fillId="7" borderId="0" xfId="0" applyNumberFormat="1" applyFont="1" applyFill="1"/>
    <xf numFmtId="4" fontId="15" fillId="7" borderId="0" xfId="0" applyNumberFormat="1" applyFont="1" applyFill="1" applyBorder="1"/>
    <xf numFmtId="0" fontId="31" fillId="7" borderId="0" xfId="0" applyFont="1" applyFill="1" applyAlignment="1">
      <alignment horizontal="center"/>
    </xf>
    <xf numFmtId="167" fontId="15" fillId="7" borderId="49" xfId="0" applyNumberFormat="1" applyFont="1" applyFill="1" applyBorder="1" applyAlignment="1">
      <alignment horizontal="center"/>
    </xf>
    <xf numFmtId="167" fontId="38" fillId="7" borderId="49" xfId="0" applyNumberFormat="1" applyFont="1" applyFill="1" applyBorder="1" applyAlignment="1">
      <alignment horizontal="center"/>
    </xf>
    <xf numFmtId="164" fontId="15" fillId="7" borderId="49" xfId="0" applyNumberFormat="1" applyFont="1" applyFill="1" applyBorder="1" applyAlignment="1">
      <alignment horizontal="center"/>
    </xf>
    <xf numFmtId="4" fontId="15" fillId="7" borderId="49" xfId="0" applyNumberFormat="1" applyFont="1" applyFill="1" applyBorder="1" applyAlignment="1">
      <alignment horizontal="center"/>
    </xf>
    <xf numFmtId="49" fontId="15" fillId="7" borderId="0" xfId="0" applyNumberFormat="1" applyFont="1" applyFill="1" applyBorder="1"/>
    <xf numFmtId="166" fontId="15" fillId="7" borderId="0" xfId="0" applyNumberFormat="1" applyFont="1" applyFill="1"/>
    <xf numFmtId="0" fontId="15" fillId="7" borderId="0" xfId="0" applyFont="1" applyFill="1" applyAlignment="1" applyProtection="1">
      <alignment horizontal="center"/>
      <protection locked="0"/>
    </xf>
    <xf numFmtId="167" fontId="15" fillId="7" borderId="50" xfId="0" applyNumberFormat="1" applyFont="1" applyFill="1" applyBorder="1" applyAlignment="1">
      <alignment horizontal="center"/>
    </xf>
    <xf numFmtId="167" fontId="38" fillId="7" borderId="50" xfId="0" applyNumberFormat="1" applyFont="1" applyFill="1" applyBorder="1" applyAlignment="1">
      <alignment horizontal="center"/>
    </xf>
    <xf numFmtId="164" fontId="15" fillId="7" borderId="50" xfId="0" applyNumberFormat="1" applyFont="1" applyFill="1" applyBorder="1" applyAlignment="1">
      <alignment horizontal="center"/>
    </xf>
    <xf numFmtId="4" fontId="15" fillId="7" borderId="50" xfId="0" applyNumberFormat="1" applyFont="1" applyFill="1" applyBorder="1" applyAlignment="1">
      <alignment horizontal="center"/>
    </xf>
    <xf numFmtId="0" fontId="15" fillId="7" borderId="30" xfId="0" applyFont="1" applyFill="1" applyBorder="1" applyAlignment="1">
      <alignment horizontal="left"/>
    </xf>
    <xf numFmtId="166" fontId="15" fillId="7" borderId="30" xfId="0" applyNumberFormat="1" applyFont="1" applyFill="1" applyBorder="1" applyAlignment="1">
      <alignment horizontal="center"/>
    </xf>
    <xf numFmtId="166" fontId="15" fillId="7" borderId="31" xfId="0" applyNumberFormat="1" applyFont="1" applyFill="1" applyBorder="1" applyAlignment="1">
      <alignment horizontal="center"/>
    </xf>
    <xf numFmtId="166" fontId="15" fillId="7" borderId="32" xfId="0" applyNumberFormat="1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5" fillId="7" borderId="0" xfId="0" applyFont="1" applyFill="1" applyBorder="1" applyAlignment="1">
      <alignment vertical="center"/>
    </xf>
    <xf numFmtId="0" fontId="15" fillId="7" borderId="0" xfId="0" applyFont="1" applyFill="1" applyAlignment="1" applyProtection="1">
      <alignment horizontal="center" vertical="center"/>
      <protection locked="0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4" fontId="16" fillId="7" borderId="0" xfId="0" applyNumberFormat="1" applyFont="1" applyFill="1" applyBorder="1" applyAlignment="1">
      <alignment horizontal="center"/>
    </xf>
    <xf numFmtId="4" fontId="15" fillId="7" borderId="0" xfId="0" applyNumberFormat="1" applyFont="1" applyFill="1" applyBorder="1" applyAlignment="1">
      <alignment horizontal="center"/>
    </xf>
    <xf numFmtId="167" fontId="15" fillId="7" borderId="52" xfId="0" applyNumberFormat="1" applyFont="1" applyFill="1" applyBorder="1" applyAlignment="1">
      <alignment horizontal="center"/>
    </xf>
    <xf numFmtId="164" fontId="15" fillId="7" borderId="52" xfId="0" applyNumberFormat="1" applyFont="1" applyFill="1" applyBorder="1" applyAlignment="1">
      <alignment horizontal="center"/>
    </xf>
    <xf numFmtId="4" fontId="15" fillId="7" borderId="52" xfId="0" applyNumberFormat="1" applyFont="1" applyFill="1" applyBorder="1" applyAlignment="1">
      <alignment horizontal="center"/>
    </xf>
    <xf numFmtId="166" fontId="18" fillId="7" borderId="0" xfId="0" applyNumberFormat="1" applyFont="1" applyFill="1" applyBorder="1"/>
    <xf numFmtId="0" fontId="10" fillId="7" borderId="10" xfId="0" applyFont="1" applyFill="1" applyBorder="1"/>
    <xf numFmtId="0" fontId="15" fillId="7" borderId="10" xfId="0" applyFont="1" applyFill="1" applyBorder="1"/>
    <xf numFmtId="4" fontId="18" fillId="7" borderId="0" xfId="0" applyNumberFormat="1" applyFont="1" applyFill="1"/>
    <xf numFmtId="0" fontId="14" fillId="7" borderId="10" xfId="0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0" fontId="15" fillId="7" borderId="12" xfId="0" applyFont="1" applyFill="1" applyBorder="1"/>
    <xf numFmtId="0" fontId="15" fillId="7" borderId="0" xfId="0" applyFont="1" applyFill="1" applyBorder="1" applyAlignment="1"/>
    <xf numFmtId="0" fontId="23" fillId="7" borderId="7" xfId="0" applyFont="1" applyFill="1" applyBorder="1" applyAlignment="1">
      <alignment horizontal="center"/>
    </xf>
    <xf numFmtId="0" fontId="31" fillId="7" borderId="0" xfId="0" applyFont="1" applyFill="1" applyBorder="1"/>
    <xf numFmtId="0" fontId="31" fillId="7" borderId="12" xfId="0" applyFont="1" applyFill="1" applyBorder="1" applyAlignment="1">
      <alignment horizontal="center"/>
    </xf>
    <xf numFmtId="0" fontId="15" fillId="7" borderId="53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Continuous"/>
    </xf>
    <xf numFmtId="0" fontId="0" fillId="7" borderId="54" xfId="0" applyFill="1" applyBorder="1"/>
    <xf numFmtId="0" fontId="15" fillId="7" borderId="29" xfId="0" applyFont="1" applyFill="1" applyBorder="1" applyAlignment="1">
      <alignment horizontal="centerContinuous"/>
    </xf>
    <xf numFmtId="167" fontId="15" fillId="7" borderId="0" xfId="0" applyNumberFormat="1" applyFont="1" applyFill="1" applyBorder="1" applyAlignment="1">
      <alignment horizontal="center"/>
    </xf>
    <xf numFmtId="167" fontId="15" fillId="7" borderId="12" xfId="0" applyNumberFormat="1" applyFont="1" applyFill="1" applyBorder="1" applyAlignment="1">
      <alignment horizontal="center"/>
    </xf>
    <xf numFmtId="3" fontId="10" fillId="7" borderId="0" xfId="0" applyNumberFormat="1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167" fontId="10" fillId="7" borderId="55" xfId="0" applyNumberFormat="1" applyFont="1" applyFill="1" applyBorder="1" applyAlignment="1">
      <alignment horizontal="center"/>
    </xf>
    <xf numFmtId="2" fontId="15" fillId="7" borderId="29" xfId="0" applyNumberFormat="1" applyFont="1" applyFill="1" applyBorder="1" applyAlignment="1">
      <alignment horizontal="centerContinuous"/>
    </xf>
    <xf numFmtId="2" fontId="15" fillId="7" borderId="0" xfId="0" applyNumberFormat="1" applyFont="1" applyFill="1" applyBorder="1" applyAlignment="1">
      <alignment horizontal="centerContinuous"/>
    </xf>
    <xf numFmtId="0" fontId="10" fillId="7" borderId="0" xfId="0" applyFont="1" applyFill="1" applyBorder="1" applyAlignment="1">
      <alignment horizontal="centerContinuous"/>
    </xf>
    <xf numFmtId="0" fontId="10" fillId="7" borderId="55" xfId="0" applyFont="1" applyFill="1" applyBorder="1" applyAlignment="1">
      <alignment horizontal="center"/>
    </xf>
    <xf numFmtId="49" fontId="16" fillId="7" borderId="0" xfId="0" applyNumberFormat="1" applyFont="1" applyFill="1" applyAlignment="1">
      <alignment horizontal="right"/>
    </xf>
    <xf numFmtId="164" fontId="10" fillId="7" borderId="0" xfId="0" applyNumberFormat="1" applyFont="1" applyFill="1" applyBorder="1" applyAlignment="1">
      <alignment horizontal="center"/>
    </xf>
    <xf numFmtId="165" fontId="15" fillId="7" borderId="0" xfId="0" applyNumberFormat="1" applyFont="1" applyFill="1" applyBorder="1" applyAlignment="1">
      <alignment horizontal="center"/>
    </xf>
    <xf numFmtId="164" fontId="10" fillId="7" borderId="55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3" fontId="15" fillId="7" borderId="12" xfId="0" applyNumberFormat="1" applyFont="1" applyFill="1" applyBorder="1" applyAlignment="1">
      <alignment horizontal="center"/>
    </xf>
    <xf numFmtId="0" fontId="15" fillId="7" borderId="56" xfId="0" applyFont="1" applyFill="1" applyBorder="1" applyAlignment="1">
      <alignment horizontal="center"/>
    </xf>
    <xf numFmtId="4" fontId="15" fillId="7" borderId="57" xfId="0" applyNumberFormat="1" applyFont="1" applyFill="1" applyBorder="1" applyAlignment="1">
      <alignment horizontal="center"/>
    </xf>
    <xf numFmtId="2" fontId="10" fillId="7" borderId="55" xfId="0" applyNumberFormat="1" applyFont="1" applyFill="1" applyBorder="1" applyAlignment="1">
      <alignment horizontal="center"/>
    </xf>
    <xf numFmtId="0" fontId="16" fillId="7" borderId="0" xfId="0" applyFont="1" applyFill="1" applyAlignment="1">
      <alignment horizontal="right"/>
    </xf>
    <xf numFmtId="0" fontId="33" fillId="7" borderId="0" xfId="0" applyFont="1" applyFill="1" applyBorder="1" applyAlignment="1">
      <alignment horizontal="right"/>
    </xf>
    <xf numFmtId="167" fontId="15" fillId="7" borderId="12" xfId="0" applyNumberFormat="1" applyFont="1" applyFill="1" applyBorder="1" applyAlignment="1">
      <alignment horizontal="left"/>
    </xf>
    <xf numFmtId="0" fontId="15" fillId="7" borderId="12" xfId="0" applyFont="1" applyFill="1" applyBorder="1" applyAlignment="1">
      <alignment horizontal="left"/>
    </xf>
    <xf numFmtId="0" fontId="15" fillId="7" borderId="0" xfId="0" quotePrefix="1" applyFont="1" applyFill="1" applyBorder="1"/>
    <xf numFmtId="2" fontId="15" fillId="7" borderId="12" xfId="0" applyNumberFormat="1" applyFont="1" applyFill="1" applyBorder="1" applyAlignment="1">
      <alignment horizontal="left"/>
    </xf>
    <xf numFmtId="1" fontId="15" fillId="7" borderId="0" xfId="0" applyNumberFormat="1" applyFont="1" applyFill="1" applyBorder="1" applyAlignment="1">
      <alignment horizontal="center"/>
    </xf>
    <xf numFmtId="1" fontId="15" fillId="7" borderId="0" xfId="0" applyNumberFormat="1" applyFont="1" applyFill="1" applyBorder="1" applyAlignment="1">
      <alignment horizontal="left"/>
    </xf>
    <xf numFmtId="165" fontId="15" fillId="7" borderId="0" xfId="0" applyNumberFormat="1" applyFont="1" applyFill="1" applyBorder="1" applyAlignment="1">
      <alignment horizontal="left"/>
    </xf>
    <xf numFmtId="3" fontId="15" fillId="7" borderId="0" xfId="0" applyNumberFormat="1" applyFont="1" applyFill="1" applyBorder="1" applyAlignment="1">
      <alignment horizontal="left"/>
    </xf>
    <xf numFmtId="0" fontId="15" fillId="7" borderId="0" xfId="0" applyFont="1" applyFill="1" applyBorder="1" applyAlignment="1">
      <alignment vertical="top" wrapText="1"/>
    </xf>
    <xf numFmtId="0" fontId="15" fillId="7" borderId="58" xfId="0" applyFont="1" applyFill="1" applyBorder="1" applyAlignment="1">
      <alignment horizontal="center" wrapText="1"/>
    </xf>
    <xf numFmtId="0" fontId="15" fillId="7" borderId="59" xfId="0" applyFont="1" applyFill="1" applyBorder="1" applyAlignment="1">
      <alignment horizontal="center" wrapText="1"/>
    </xf>
    <xf numFmtId="0" fontId="15" fillId="7" borderId="60" xfId="0" applyFont="1" applyFill="1" applyBorder="1" applyAlignment="1">
      <alignment horizontal="center" wrapText="1"/>
    </xf>
    <xf numFmtId="0" fontId="15" fillId="7" borderId="61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wrapText="1"/>
    </xf>
    <xf numFmtId="0" fontId="15" fillId="7" borderId="62" xfId="0" applyFont="1" applyFill="1" applyBorder="1" applyAlignment="1">
      <alignment horizontal="center" wrapText="1"/>
    </xf>
    <xf numFmtId="0" fontId="15" fillId="7" borderId="63" xfId="0" applyFont="1" applyFill="1" applyBorder="1" applyAlignment="1">
      <alignment horizontal="center" wrapText="1"/>
    </xf>
    <xf numFmtId="0" fontId="15" fillId="7" borderId="64" xfId="0" applyFont="1" applyFill="1" applyBorder="1" applyAlignment="1">
      <alignment horizontal="center"/>
    </xf>
    <xf numFmtId="0" fontId="15" fillId="7" borderId="62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65" xfId="0" applyFont="1" applyFill="1" applyBorder="1" applyAlignment="1">
      <alignment horizontal="center" vertical="center" wrapText="1"/>
    </xf>
    <xf numFmtId="0" fontId="15" fillId="7" borderId="66" xfId="0" applyFont="1" applyFill="1" applyBorder="1" applyAlignment="1">
      <alignment horizontal="center" wrapText="1"/>
    </xf>
    <xf numFmtId="0" fontId="15" fillId="7" borderId="34" xfId="0" applyFont="1" applyFill="1" applyBorder="1" applyAlignment="1">
      <alignment horizontal="center" wrapText="1"/>
    </xf>
    <xf numFmtId="0" fontId="15" fillId="7" borderId="35" xfId="0" applyFont="1" applyFill="1" applyBorder="1" applyAlignment="1">
      <alignment horizontal="center" wrapText="1"/>
    </xf>
    <xf numFmtId="0" fontId="15" fillId="7" borderId="67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wrapText="1"/>
    </xf>
    <xf numFmtId="164" fontId="10" fillId="7" borderId="68" xfId="0" applyNumberFormat="1" applyFont="1" applyFill="1" applyBorder="1" applyAlignment="1">
      <alignment horizontal="center"/>
    </xf>
    <xf numFmtId="164" fontId="10" fillId="7" borderId="0" xfId="0" applyNumberFormat="1" applyFont="1" applyFill="1" applyAlignment="1">
      <alignment horizontal="center"/>
    </xf>
    <xf numFmtId="0" fontId="12" fillId="7" borderId="29" xfId="0" applyFont="1" applyFill="1" applyBorder="1" applyAlignment="1">
      <alignment horizontal="centerContinuous"/>
    </xf>
    <xf numFmtId="3" fontId="15" fillId="7" borderId="12" xfId="0" applyNumberFormat="1" applyFont="1" applyFill="1" applyBorder="1" applyAlignment="1">
      <alignment horizontal="left"/>
    </xf>
    <xf numFmtId="0" fontId="12" fillId="7" borderId="10" xfId="0" applyFont="1" applyFill="1" applyBorder="1" applyAlignment="1">
      <alignment horizontal="centerContinuous"/>
    </xf>
    <xf numFmtId="4" fontId="15" fillId="7" borderId="15" xfId="0" applyNumberFormat="1" applyFont="1" applyFill="1" applyBorder="1" applyAlignment="1">
      <alignment horizontal="center"/>
    </xf>
    <xf numFmtId="167" fontId="15" fillId="7" borderId="18" xfId="0" applyNumberFormat="1" applyFont="1" applyFill="1" applyBorder="1" applyAlignment="1">
      <alignment horizontal="center"/>
    </xf>
    <xf numFmtId="167" fontId="38" fillId="7" borderId="18" xfId="0" applyNumberFormat="1" applyFont="1" applyFill="1" applyBorder="1" applyAlignment="1">
      <alignment horizontal="center"/>
    </xf>
    <xf numFmtId="164" fontId="15" fillId="7" borderId="18" xfId="0" applyNumberFormat="1" applyFont="1" applyFill="1" applyBorder="1" applyAlignment="1">
      <alignment horizontal="center"/>
    </xf>
    <xf numFmtId="4" fontId="15" fillId="7" borderId="18" xfId="0" applyNumberFormat="1" applyFont="1" applyFill="1" applyBorder="1" applyAlignment="1">
      <alignment horizontal="center"/>
    </xf>
    <xf numFmtId="164" fontId="15" fillId="7" borderId="69" xfId="0" applyNumberFormat="1" applyFont="1" applyFill="1" applyBorder="1" applyAlignment="1">
      <alignment horizontal="center"/>
    </xf>
    <xf numFmtId="167" fontId="15" fillId="7" borderId="69" xfId="0" applyNumberFormat="1" applyFont="1" applyFill="1" applyBorder="1" applyAlignment="1">
      <alignment horizontal="center"/>
    </xf>
    <xf numFmtId="4" fontId="15" fillId="7" borderId="69" xfId="0" applyNumberFormat="1" applyFont="1" applyFill="1" applyBorder="1" applyAlignment="1">
      <alignment horizontal="center"/>
    </xf>
    <xf numFmtId="0" fontId="15" fillId="7" borderId="8" xfId="0" applyFont="1" applyFill="1" applyBorder="1"/>
    <xf numFmtId="0" fontId="15" fillId="7" borderId="0" xfId="0" applyFont="1" applyFill="1" applyBorder="1" applyAlignment="1">
      <alignment wrapText="1"/>
    </xf>
    <xf numFmtId="164" fontId="10" fillId="7" borderId="0" xfId="0" applyNumberFormat="1" applyFont="1" applyFill="1" applyBorder="1" applyAlignment="1"/>
    <xf numFmtId="0" fontId="15" fillId="7" borderId="31" xfId="0" applyFont="1" applyFill="1" applyBorder="1" applyAlignment="1">
      <alignment horizontal="center" wrapText="1"/>
    </xf>
    <xf numFmtId="0" fontId="15" fillId="7" borderId="32" xfId="0" applyFont="1" applyFill="1" applyBorder="1" applyAlignment="1">
      <alignment horizontal="center" wrapText="1"/>
    </xf>
    <xf numFmtId="0" fontId="15" fillId="7" borderId="70" xfId="0" applyFont="1" applyFill="1" applyBorder="1"/>
    <xf numFmtId="0" fontId="15" fillId="7" borderId="71" xfId="0" applyFont="1" applyFill="1" applyBorder="1"/>
    <xf numFmtId="0" fontId="15" fillId="7" borderId="72" xfId="0" applyFont="1" applyFill="1" applyBorder="1"/>
    <xf numFmtId="0" fontId="15" fillId="7" borderId="0" xfId="0" applyFont="1" applyFill="1" applyAlignment="1">
      <alignment wrapText="1"/>
    </xf>
    <xf numFmtId="4" fontId="15" fillId="7" borderId="0" xfId="0" applyNumberFormat="1" applyFont="1" applyFill="1" applyAlignment="1">
      <alignment horizontal="center"/>
    </xf>
    <xf numFmtId="0" fontId="15" fillId="7" borderId="0" xfId="0" quotePrefix="1" applyFont="1" applyFill="1" applyAlignment="1">
      <alignment horizontal="left"/>
    </xf>
    <xf numFmtId="17" fontId="15" fillId="7" borderId="61" xfId="0" applyNumberFormat="1" applyFont="1" applyFill="1" applyBorder="1" applyAlignment="1">
      <alignment horizontal="center" wrapText="1"/>
    </xf>
    <xf numFmtId="166" fontId="15" fillId="7" borderId="0" xfId="0" applyNumberFormat="1" applyFont="1" applyFill="1" applyBorder="1" applyAlignment="1">
      <alignment horizontal="center"/>
    </xf>
    <xf numFmtId="0" fontId="15" fillId="7" borderId="65" xfId="0" applyFont="1" applyFill="1" applyBorder="1" applyAlignment="1">
      <alignment horizontal="center" wrapText="1"/>
    </xf>
    <xf numFmtId="17" fontId="15" fillId="7" borderId="73" xfId="0" applyNumberFormat="1" applyFont="1" applyFill="1" applyBorder="1" applyAlignment="1">
      <alignment horizontal="center" wrapText="1"/>
    </xf>
    <xf numFmtId="0" fontId="15" fillId="7" borderId="74" xfId="0" applyFont="1" applyFill="1" applyBorder="1" applyAlignment="1">
      <alignment horizontal="center" wrapText="1"/>
    </xf>
    <xf numFmtId="0" fontId="15" fillId="7" borderId="75" xfId="0" applyFont="1" applyFill="1" applyBorder="1" applyAlignment="1">
      <alignment horizontal="center" wrapText="1"/>
    </xf>
    <xf numFmtId="0" fontId="15" fillId="7" borderId="76" xfId="0" applyFont="1" applyFill="1" applyBorder="1" applyAlignment="1">
      <alignment horizontal="center" wrapText="1"/>
    </xf>
    <xf numFmtId="0" fontId="15" fillId="7" borderId="77" xfId="0" applyFont="1" applyFill="1" applyBorder="1" applyAlignment="1">
      <alignment horizontal="center"/>
    </xf>
    <xf numFmtId="0" fontId="15" fillId="7" borderId="75" xfId="0" applyFont="1" applyFill="1" applyBorder="1" applyAlignment="1">
      <alignment horizontal="center"/>
    </xf>
    <xf numFmtId="0" fontId="15" fillId="7" borderId="78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left" vertical="center" wrapText="1"/>
    </xf>
    <xf numFmtId="0" fontId="15" fillId="7" borderId="67" xfId="0" applyFont="1" applyFill="1" applyBorder="1" applyAlignment="1">
      <alignment horizontal="center" wrapText="1"/>
    </xf>
    <xf numFmtId="0" fontId="15" fillId="7" borderId="79" xfId="0" applyFont="1" applyFill="1" applyBorder="1" applyAlignment="1">
      <alignment horizontal="center" wrapText="1"/>
    </xf>
    <xf numFmtId="0" fontId="15" fillId="7" borderId="80" xfId="0" applyFont="1" applyFill="1" applyBorder="1" applyAlignment="1">
      <alignment horizontal="center" wrapText="1"/>
    </xf>
    <xf numFmtId="164" fontId="15" fillId="7" borderId="0" xfId="0" applyNumberFormat="1" applyFont="1" applyFill="1" applyBorder="1" applyAlignment="1">
      <alignment horizontal="center"/>
    </xf>
    <xf numFmtId="0" fontId="15" fillId="7" borderId="10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center" wrapText="1"/>
    </xf>
    <xf numFmtId="0" fontId="31" fillId="7" borderId="0" xfId="0" quotePrefix="1" applyFont="1" applyFill="1" applyBorder="1" applyAlignment="1">
      <alignment horizontal="left"/>
    </xf>
    <xf numFmtId="0" fontId="15" fillId="7" borderId="0" xfId="0" quotePrefix="1" applyFont="1" applyFill="1" applyBorder="1" applyAlignment="1"/>
    <xf numFmtId="0" fontId="15" fillId="7" borderId="20" xfId="0" applyFont="1" applyFill="1" applyBorder="1" applyAlignment="1">
      <alignment horizontal="center" wrapText="1"/>
    </xf>
    <xf numFmtId="0" fontId="31" fillId="7" borderId="0" xfId="0" quotePrefix="1" applyFont="1" applyFill="1" applyBorder="1"/>
    <xf numFmtId="0" fontId="15" fillId="7" borderId="81" xfId="0" applyFont="1" applyFill="1" applyBorder="1" applyAlignment="1">
      <alignment horizontal="center"/>
    </xf>
    <xf numFmtId="0" fontId="15" fillId="7" borderId="82" xfId="0" applyFont="1" applyFill="1" applyBorder="1" applyAlignment="1">
      <alignment horizontal="center" wrapText="1"/>
    </xf>
    <xf numFmtId="0" fontId="15" fillId="7" borderId="83" xfId="0" applyFont="1" applyFill="1" applyBorder="1" applyAlignment="1">
      <alignment horizontal="center"/>
    </xf>
    <xf numFmtId="49" fontId="15" fillId="7" borderId="61" xfId="0" applyNumberFormat="1" applyFont="1" applyFill="1" applyBorder="1" applyAlignment="1">
      <alignment horizontal="center" wrapText="1"/>
    </xf>
    <xf numFmtId="49" fontId="15" fillId="7" borderId="67" xfId="0" applyNumberFormat="1" applyFont="1" applyFill="1" applyBorder="1" applyAlignment="1">
      <alignment horizontal="center" vertical="center" wrapText="1"/>
    </xf>
    <xf numFmtId="2" fontId="15" fillId="7" borderId="66" xfId="0" applyNumberFormat="1" applyFont="1" applyFill="1" applyBorder="1" applyAlignment="1">
      <alignment horizontal="center" wrapText="1"/>
    </xf>
    <xf numFmtId="2" fontId="15" fillId="7" borderId="34" xfId="0" applyNumberFormat="1" applyFont="1" applyFill="1" applyBorder="1" applyAlignment="1">
      <alignment horizontal="center" wrapText="1"/>
    </xf>
    <xf numFmtId="2" fontId="15" fillId="7" borderId="35" xfId="0" applyNumberFormat="1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left"/>
    </xf>
    <xf numFmtId="0" fontId="10" fillId="8" borderId="0" xfId="0" applyFont="1" applyFill="1" applyBorder="1" applyAlignment="1">
      <alignment horizontal="center"/>
    </xf>
    <xf numFmtId="2" fontId="10" fillId="8" borderId="0" xfId="0" applyNumberFormat="1" applyFont="1" applyFill="1" applyBorder="1" applyAlignment="1">
      <alignment horizontal="left"/>
    </xf>
    <xf numFmtId="2" fontId="24" fillId="7" borderId="0" xfId="0" applyNumberFormat="1" applyFont="1" applyFill="1" applyBorder="1" applyAlignment="1">
      <alignment horizontal="center"/>
    </xf>
    <xf numFmtId="2" fontId="10" fillId="8" borderId="0" xfId="0" applyNumberFormat="1" applyFont="1" applyFill="1" applyBorder="1" applyAlignment="1">
      <alignment horizontal="center"/>
    </xf>
    <xf numFmtId="2" fontId="15" fillId="7" borderId="0" xfId="0" applyNumberFormat="1" applyFont="1" applyFill="1" applyBorder="1" applyAlignment="1"/>
    <xf numFmtId="167" fontId="15" fillId="7" borderId="0" xfId="0" applyNumberFormat="1" applyFont="1" applyFill="1"/>
    <xf numFmtId="167" fontId="30" fillId="7" borderId="0" xfId="0" applyNumberFormat="1" applyFont="1" applyFill="1" applyBorder="1" applyAlignment="1">
      <alignment horizontal="center"/>
    </xf>
    <xf numFmtId="4" fontId="10" fillId="7" borderId="0" xfId="0" applyNumberFormat="1" applyFont="1" applyFill="1" applyBorder="1" applyAlignment="1">
      <alignment horizontal="center"/>
    </xf>
    <xf numFmtId="164" fontId="24" fillId="7" borderId="0" xfId="0" applyNumberFormat="1" applyFont="1" applyFill="1" applyBorder="1" applyAlignment="1">
      <alignment horizontal="center"/>
    </xf>
    <xf numFmtId="2" fontId="10" fillId="7" borderId="0" xfId="0" applyNumberFormat="1" applyFont="1" applyFill="1" applyBorder="1" applyAlignment="1">
      <alignment horizontal="center"/>
    </xf>
    <xf numFmtId="167" fontId="30" fillId="7" borderId="0" xfId="0" applyNumberFormat="1" applyFont="1" applyFill="1" applyBorder="1" applyAlignment="1">
      <alignment horizontal="left"/>
    </xf>
    <xf numFmtId="3" fontId="24" fillId="8" borderId="0" xfId="0" applyNumberFormat="1" applyFont="1" applyFill="1" applyBorder="1" applyAlignment="1">
      <alignment horizontal="left"/>
    </xf>
    <xf numFmtId="2" fontId="24" fillId="8" borderId="0" xfId="0" applyNumberFormat="1" applyFont="1" applyFill="1" applyBorder="1" applyAlignment="1">
      <alignment horizontal="left"/>
    </xf>
    <xf numFmtId="2" fontId="24" fillId="7" borderId="0" xfId="0" applyNumberFormat="1" applyFont="1" applyFill="1" applyBorder="1" applyAlignment="1">
      <alignment horizontal="left"/>
    </xf>
    <xf numFmtId="2" fontId="20" fillId="7" borderId="0" xfId="0" applyNumberFormat="1" applyFont="1" applyFill="1" applyBorder="1" applyAlignment="1">
      <alignment horizontal="center"/>
    </xf>
    <xf numFmtId="0" fontId="29" fillId="7" borderId="0" xfId="0" applyFont="1" applyFill="1" applyBorder="1" applyAlignment="1"/>
    <xf numFmtId="0" fontId="29" fillId="7" borderId="0" xfId="0" applyFont="1" applyFill="1" applyBorder="1" applyAlignment="1">
      <alignment horizontal="left"/>
    </xf>
    <xf numFmtId="0" fontId="10" fillId="7" borderId="0" xfId="0" applyFont="1" applyFill="1" applyBorder="1" applyAlignment="1"/>
    <xf numFmtId="2" fontId="7" fillId="7" borderId="0" xfId="0" applyNumberFormat="1" applyFont="1" applyFill="1" applyBorder="1" applyAlignment="1">
      <alignment horizontal="center"/>
    </xf>
    <xf numFmtId="167" fontId="39" fillId="7" borderId="0" xfId="0" applyNumberFormat="1" applyFont="1" applyFill="1" applyBorder="1" applyAlignment="1">
      <alignment horizontal="center"/>
    </xf>
    <xf numFmtId="2" fontId="7" fillId="7" borderId="20" xfId="0" applyNumberFormat="1" applyFont="1" applyFill="1" applyBorder="1" applyAlignment="1">
      <alignment horizontal="center"/>
    </xf>
    <xf numFmtId="0" fontId="39" fillId="7" borderId="0" xfId="0" applyFont="1" applyFill="1" applyAlignment="1">
      <alignment vertical="center" wrapText="1"/>
    </xf>
    <xf numFmtId="2" fontId="24" fillId="7" borderId="84" xfId="0" applyNumberFormat="1" applyFont="1" applyFill="1" applyBorder="1" applyAlignment="1">
      <alignment horizontal="left"/>
    </xf>
    <xf numFmtId="166" fontId="15" fillId="7" borderId="0" xfId="0" applyNumberFormat="1" applyFont="1" applyFill="1" applyAlignment="1">
      <alignment horizontal="center"/>
    </xf>
    <xf numFmtId="0" fontId="14" fillId="7" borderId="7" xfId="0" applyFont="1" applyFill="1" applyBorder="1" applyAlignment="1"/>
    <xf numFmtId="0" fontId="15" fillId="7" borderId="54" xfId="0" applyFont="1" applyFill="1" applyBorder="1" applyAlignment="1">
      <alignment horizontal="centerContinuous"/>
    </xf>
    <xf numFmtId="0" fontId="10" fillId="7" borderId="54" xfId="0" applyFont="1" applyFill="1" applyBorder="1" applyAlignment="1">
      <alignment horizontal="centerContinuous"/>
    </xf>
    <xf numFmtId="0" fontId="10" fillId="8" borderId="54" xfId="0" applyFont="1" applyFill="1" applyBorder="1" applyAlignment="1">
      <alignment horizontal="centerContinuous"/>
    </xf>
    <xf numFmtId="0" fontId="10" fillId="8" borderId="54" xfId="0" applyFont="1" applyFill="1" applyBorder="1"/>
    <xf numFmtId="0" fontId="10" fillId="7" borderId="54" xfId="0" applyFont="1" applyFill="1" applyBorder="1"/>
    <xf numFmtId="164" fontId="10" fillId="7" borderId="0" xfId="0" applyNumberFormat="1" applyFont="1" applyFill="1" applyBorder="1" applyAlignment="1">
      <alignment horizontal="right"/>
    </xf>
    <xf numFmtId="164" fontId="10" fillId="8" borderId="54" xfId="0" applyNumberFormat="1" applyFont="1" applyFill="1" applyBorder="1"/>
    <xf numFmtId="0" fontId="15" fillId="7" borderId="54" xfId="0" applyFont="1" applyFill="1" applyBorder="1"/>
    <xf numFmtId="0" fontId="16" fillId="7" borderId="0" xfId="0" applyFont="1" applyFill="1" applyBorder="1" applyAlignment="1">
      <alignment horizontal="right"/>
    </xf>
    <xf numFmtId="164" fontId="10" fillId="8" borderId="54" xfId="0" applyNumberFormat="1" applyFont="1" applyFill="1" applyBorder="1" applyAlignment="1">
      <alignment horizontal="centerContinuous"/>
    </xf>
    <xf numFmtId="164" fontId="10" fillId="8" borderId="54" xfId="0" applyNumberFormat="1" applyFont="1" applyFill="1" applyBorder="1" applyAlignment="1">
      <alignment horizontal="right"/>
    </xf>
    <xf numFmtId="0" fontId="15" fillId="7" borderId="85" xfId="0" applyFont="1" applyFill="1" applyBorder="1"/>
    <xf numFmtId="0" fontId="8" fillId="7" borderId="0" xfId="0" applyFont="1" applyFill="1"/>
    <xf numFmtId="164" fontId="15" fillId="7" borderId="0" xfId="0" applyNumberFormat="1" applyFont="1" applyFill="1" applyBorder="1" applyAlignment="1">
      <alignment horizontal="right"/>
    </xf>
    <xf numFmtId="0" fontId="0" fillId="7" borderId="0" xfId="0" applyFill="1"/>
    <xf numFmtId="167" fontId="40" fillId="7" borderId="20" xfId="0" applyNumberFormat="1" applyFont="1" applyFill="1" applyBorder="1" applyAlignment="1">
      <alignment horizontal="center"/>
    </xf>
    <xf numFmtId="164" fontId="40" fillId="7" borderId="20" xfId="0" applyNumberFormat="1" applyFont="1" applyFill="1" applyBorder="1" applyAlignment="1">
      <alignment horizontal="center"/>
    </xf>
    <xf numFmtId="2" fontId="40" fillId="7" borderId="20" xfId="0" applyNumberFormat="1" applyFont="1" applyFill="1" applyBorder="1" applyAlignment="1">
      <alignment horizontal="center"/>
    </xf>
    <xf numFmtId="2" fontId="15" fillId="7" borderId="35" xfId="0" applyNumberFormat="1" applyFont="1" applyFill="1" applyBorder="1" applyAlignment="1">
      <alignment horizontal="center"/>
    </xf>
    <xf numFmtId="2" fontId="15" fillId="7" borderId="66" xfId="0" applyNumberFormat="1" applyFont="1" applyFill="1" applyBorder="1" applyAlignment="1">
      <alignment horizontal="center"/>
    </xf>
    <xf numFmtId="2" fontId="15" fillId="7" borderId="82" xfId="0" applyNumberFormat="1" applyFont="1" applyFill="1" applyBorder="1" applyAlignment="1">
      <alignment horizontal="center"/>
    </xf>
    <xf numFmtId="2" fontId="15" fillId="7" borderId="31" xfId="0" applyNumberFormat="1" applyFont="1" applyFill="1" applyBorder="1" applyAlignment="1">
      <alignment horizontal="center"/>
    </xf>
    <xf numFmtId="2" fontId="15" fillId="7" borderId="32" xfId="0" applyNumberFormat="1" applyFont="1" applyFill="1" applyBorder="1" applyAlignment="1">
      <alignment horizontal="center"/>
    </xf>
    <xf numFmtId="0" fontId="15" fillId="7" borderId="86" xfId="0" applyFont="1" applyFill="1" applyBorder="1"/>
    <xf numFmtId="0" fontId="15" fillId="7" borderId="87" xfId="0" applyFont="1" applyFill="1" applyBorder="1"/>
    <xf numFmtId="4" fontId="36" fillId="7" borderId="87" xfId="0" applyNumberFormat="1" applyFont="1" applyFill="1" applyBorder="1" applyAlignment="1">
      <alignment wrapText="1"/>
    </xf>
    <xf numFmtId="4" fontId="35" fillId="7" borderId="87" xfId="0" applyNumberFormat="1" applyFont="1" applyFill="1" applyBorder="1" applyAlignment="1"/>
    <xf numFmtId="0" fontId="17" fillId="7" borderId="87" xfId="0" applyFont="1" applyFill="1" applyBorder="1"/>
    <xf numFmtId="0" fontId="17" fillId="7" borderId="88" xfId="0" applyFont="1" applyFill="1" applyBorder="1"/>
    <xf numFmtId="164" fontId="18" fillId="7" borderId="0" xfId="0" applyNumberFormat="1" applyFont="1" applyFill="1" applyBorder="1" applyAlignment="1">
      <alignment horizontal="center"/>
    </xf>
    <xf numFmtId="165" fontId="10" fillId="7" borderId="55" xfId="0" applyNumberFormat="1" applyFont="1" applyFill="1" applyBorder="1" applyAlignment="1">
      <alignment horizontal="center"/>
    </xf>
    <xf numFmtId="0" fontId="15" fillId="7" borderId="12" xfId="0" applyFont="1" applyFill="1" applyBorder="1" applyAlignment="1">
      <alignment horizontal="right"/>
    </xf>
    <xf numFmtId="49" fontId="16" fillId="7" borderId="12" xfId="0" applyNumberFormat="1" applyFont="1" applyFill="1" applyBorder="1" applyAlignment="1">
      <alignment horizontal="right"/>
    </xf>
    <xf numFmtId="2" fontId="15" fillId="7" borderId="20" xfId="0" applyNumberFormat="1" applyFont="1" applyFill="1" applyBorder="1" applyAlignment="1">
      <alignment horizontal="center" wrapText="1"/>
    </xf>
    <xf numFmtId="164" fontId="15" fillId="7" borderId="20" xfId="0" applyNumberFormat="1" applyFont="1" applyFill="1" applyBorder="1" applyAlignment="1">
      <alignment horizontal="center" wrapText="1"/>
    </xf>
    <xf numFmtId="0" fontId="15" fillId="7" borderId="89" xfId="0" applyFont="1" applyFill="1" applyBorder="1" applyAlignment="1">
      <alignment horizontal="left"/>
    </xf>
    <xf numFmtId="0" fontId="15" fillId="7" borderId="7" xfId="0" applyFont="1" applyFill="1" applyBorder="1" applyAlignment="1">
      <alignment horizontal="left"/>
    </xf>
    <xf numFmtId="0" fontId="15" fillId="7" borderId="90" xfId="0" applyFont="1" applyFill="1" applyBorder="1" applyAlignment="1">
      <alignment horizontal="left"/>
    </xf>
    <xf numFmtId="0" fontId="15" fillId="7" borderId="6" xfId="0" applyFont="1" applyFill="1" applyBorder="1" applyAlignment="1">
      <alignment horizontal="center"/>
    </xf>
    <xf numFmtId="169" fontId="10" fillId="7" borderId="0" xfId="0" applyNumberFormat="1" applyFont="1" applyFill="1" applyBorder="1" applyAlignment="1">
      <alignment horizontal="left"/>
    </xf>
    <xf numFmtId="0" fontId="15" fillId="7" borderId="0" xfId="0" applyFont="1" applyFill="1" applyBorder="1" applyAlignment="1">
      <alignment horizontal="center"/>
    </xf>
    <xf numFmtId="167" fontId="15" fillId="7" borderId="0" xfId="0" applyNumberFormat="1" applyFont="1" applyFill="1" applyBorder="1"/>
    <xf numFmtId="4" fontId="15" fillId="7" borderId="0" xfId="0" applyNumberFormat="1" applyFont="1" applyFill="1" applyAlignment="1">
      <alignment horizontal="right"/>
    </xf>
    <xf numFmtId="2" fontId="15" fillId="7" borderId="0" xfId="0" applyNumberFormat="1" applyFont="1" applyFill="1" applyAlignment="1">
      <alignment horizontal="right"/>
    </xf>
    <xf numFmtId="164" fontId="15" fillId="7" borderId="15" xfId="0" applyNumberFormat="1" applyFont="1" applyFill="1" applyBorder="1" applyAlignment="1">
      <alignment horizontal="center"/>
    </xf>
    <xf numFmtId="0" fontId="31" fillId="7" borderId="0" xfId="0" applyFont="1" applyFill="1" applyBorder="1" applyAlignment="1">
      <alignment horizontal="center"/>
    </xf>
    <xf numFmtId="0" fontId="41" fillId="7" borderId="0" xfId="0" applyFont="1" applyFill="1"/>
    <xf numFmtId="167" fontId="42" fillId="7" borderId="0" xfId="0" applyNumberFormat="1" applyFont="1" applyFill="1" applyBorder="1" applyAlignment="1">
      <alignment horizontal="left"/>
    </xf>
    <xf numFmtId="0" fontId="41" fillId="7" borderId="0" xfId="0" applyFont="1" applyFill="1" applyAlignment="1"/>
    <xf numFmtId="167" fontId="42" fillId="7" borderId="48" xfId="0" applyNumberFormat="1" applyFont="1" applyFill="1" applyBorder="1" applyAlignment="1">
      <alignment horizontal="center"/>
    </xf>
    <xf numFmtId="167" fontId="42" fillId="7" borderId="15" xfId="0" applyNumberFormat="1" applyFont="1" applyFill="1" applyBorder="1" applyAlignment="1">
      <alignment horizontal="center"/>
    </xf>
    <xf numFmtId="0" fontId="40" fillId="7" borderId="0" xfId="0" applyFont="1" applyFill="1"/>
    <xf numFmtId="3" fontId="24" fillId="8" borderId="44" xfId="0" applyNumberFormat="1" applyFont="1" applyFill="1" applyBorder="1" applyAlignment="1">
      <alignment horizontal="center"/>
    </xf>
    <xf numFmtId="2" fontId="24" fillId="8" borderId="38" xfId="0" applyNumberFormat="1" applyFont="1" applyFill="1" applyBorder="1" applyAlignment="1">
      <alignment horizontal="center"/>
    </xf>
    <xf numFmtId="2" fontId="14" fillId="7" borderId="0" xfId="0" applyNumberFormat="1" applyFont="1" applyFill="1" applyBorder="1" applyAlignment="1"/>
    <xf numFmtId="0" fontId="15" fillId="7" borderId="45" xfId="0" applyFont="1" applyFill="1" applyBorder="1"/>
    <xf numFmtId="0" fontId="15" fillId="7" borderId="91" xfId="0" applyFont="1" applyFill="1" applyBorder="1"/>
    <xf numFmtId="0" fontId="15" fillId="7" borderId="84" xfId="0" applyFont="1" applyFill="1" applyBorder="1"/>
    <xf numFmtId="0" fontId="15" fillId="7" borderId="0" xfId="0" applyFont="1" applyFill="1" applyBorder="1" applyAlignment="1">
      <alignment horizontal="center"/>
    </xf>
    <xf numFmtId="169" fontId="10" fillId="7" borderId="0" xfId="0" applyNumberFormat="1" applyFont="1" applyFill="1" applyBorder="1" applyAlignment="1">
      <alignment horizontal="right"/>
    </xf>
    <xf numFmtId="0" fontId="10" fillId="7" borderId="14" xfId="0" applyFont="1" applyFill="1" applyBorder="1" applyAlignment="1">
      <alignment horizontal="right"/>
    </xf>
    <xf numFmtId="170" fontId="0" fillId="5" borderId="149" xfId="0" applyNumberFormat="1" applyFont="1" applyFill="1" applyBorder="1" applyAlignment="1">
      <alignment horizontal="center"/>
    </xf>
    <xf numFmtId="170" fontId="0" fillId="5" borderId="150" xfId="0" applyNumberFormat="1" applyFont="1" applyFill="1" applyBorder="1" applyAlignment="1">
      <alignment horizontal="center"/>
    </xf>
    <xf numFmtId="170" fontId="0" fillId="5" borderId="15" xfId="0" applyNumberFormat="1" applyFont="1" applyFill="1" applyBorder="1" applyAlignment="1">
      <alignment horizontal="center"/>
    </xf>
    <xf numFmtId="2" fontId="0" fillId="5" borderId="149" xfId="0" applyNumberFormat="1" applyFont="1" applyFill="1" applyBorder="1" applyAlignment="1">
      <alignment horizontal="center"/>
    </xf>
    <xf numFmtId="165" fontId="0" fillId="5" borderId="149" xfId="0" applyNumberFormat="1" applyFont="1" applyFill="1" applyBorder="1" applyAlignment="1">
      <alignment horizontal="center"/>
    </xf>
    <xf numFmtId="2" fontId="0" fillId="5" borderId="150" xfId="0" applyNumberFormat="1" applyFont="1" applyFill="1" applyBorder="1" applyAlignment="1">
      <alignment horizontal="center"/>
    </xf>
    <xf numFmtId="165" fontId="0" fillId="5" borderId="150" xfId="0" applyNumberFormat="1" applyFont="1" applyFill="1" applyBorder="1" applyAlignment="1">
      <alignment horizontal="center"/>
    </xf>
    <xf numFmtId="2" fontId="0" fillId="5" borderId="15" xfId="0" applyNumberFormat="1" applyFont="1" applyFill="1" applyBorder="1" applyAlignment="1">
      <alignment horizontal="center"/>
    </xf>
    <xf numFmtId="165" fontId="0" fillId="5" borderId="15" xfId="0" applyNumberFormat="1" applyFont="1" applyFill="1" applyBorder="1" applyAlignment="1">
      <alignment horizontal="center"/>
    </xf>
    <xf numFmtId="170" fontId="46" fillId="5" borderId="149" xfId="0" applyNumberFormat="1" applyFont="1" applyFill="1" applyBorder="1" applyAlignment="1">
      <alignment horizontal="center"/>
    </xf>
    <xf numFmtId="170" fontId="46" fillId="5" borderId="150" xfId="0" applyNumberFormat="1" applyFont="1" applyFill="1" applyBorder="1" applyAlignment="1">
      <alignment horizontal="center"/>
    </xf>
    <xf numFmtId="170" fontId="46" fillId="5" borderId="151" xfId="0" applyNumberFormat="1" applyFont="1" applyFill="1" applyBorder="1" applyAlignment="1">
      <alignment horizontal="center"/>
    </xf>
    <xf numFmtId="2" fontId="46" fillId="5" borderId="149" xfId="0" applyNumberFormat="1" applyFont="1" applyFill="1" applyBorder="1" applyAlignment="1">
      <alignment horizontal="center"/>
    </xf>
    <xf numFmtId="165" fontId="46" fillId="5" borderId="149" xfId="0" applyNumberFormat="1" applyFont="1" applyFill="1" applyBorder="1" applyAlignment="1">
      <alignment horizontal="center"/>
    </xf>
    <xf numFmtId="2" fontId="46" fillId="5" borderId="150" xfId="0" applyNumberFormat="1" applyFont="1" applyFill="1" applyBorder="1" applyAlignment="1">
      <alignment horizontal="center"/>
    </xf>
    <xf numFmtId="165" fontId="46" fillId="5" borderId="150" xfId="0" applyNumberFormat="1" applyFont="1" applyFill="1" applyBorder="1" applyAlignment="1">
      <alignment horizontal="center"/>
    </xf>
    <xf numFmtId="2" fontId="46" fillId="5" borderId="151" xfId="0" applyNumberFormat="1" applyFont="1" applyFill="1" applyBorder="1" applyAlignment="1">
      <alignment horizontal="center"/>
    </xf>
    <xf numFmtId="165" fontId="46" fillId="5" borderId="151" xfId="0" applyNumberFormat="1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170" fontId="47" fillId="7" borderId="10" xfId="0" applyNumberFormat="1" applyFont="1" applyFill="1" applyBorder="1" applyAlignment="1">
      <alignment horizontal="center"/>
    </xf>
    <xf numFmtId="170" fontId="47" fillId="7" borderId="62" xfId="0" applyNumberFormat="1" applyFont="1" applyFill="1" applyBorder="1" applyAlignment="1">
      <alignment horizontal="center"/>
    </xf>
    <xf numFmtId="170" fontId="47" fillId="7" borderId="36" xfId="0" applyNumberFormat="1" applyFont="1" applyFill="1" applyBorder="1" applyAlignment="1">
      <alignment horizontal="center"/>
    </xf>
    <xf numFmtId="170" fontId="47" fillId="7" borderId="34" xfId="0" applyNumberFormat="1" applyFont="1" applyFill="1" applyBorder="1" applyAlignment="1">
      <alignment horizontal="center"/>
    </xf>
    <xf numFmtId="170" fontId="47" fillId="7" borderId="53" xfId="0" applyNumberFormat="1" applyFont="1" applyFill="1" applyBorder="1" applyAlignment="1">
      <alignment horizontal="center"/>
    </xf>
    <xf numFmtId="170" fontId="47" fillId="7" borderId="66" xfId="0" applyNumberFormat="1" applyFont="1" applyFill="1" applyBorder="1" applyAlignment="1">
      <alignment horizontal="center"/>
    </xf>
    <xf numFmtId="170" fontId="47" fillId="7" borderId="74" xfId="0" applyNumberFormat="1" applyFont="1" applyFill="1" applyBorder="1" applyAlignment="1">
      <alignment horizontal="center" wrapText="1"/>
    </xf>
    <xf numFmtId="170" fontId="47" fillId="7" borderId="75" xfId="0" applyNumberFormat="1" applyFont="1" applyFill="1" applyBorder="1" applyAlignment="1">
      <alignment horizontal="center" wrapText="1"/>
    </xf>
    <xf numFmtId="170" fontId="47" fillId="7" borderId="13" xfId="0" applyNumberFormat="1" applyFont="1" applyFill="1" applyBorder="1" applyAlignment="1">
      <alignment horizontal="center" wrapText="1"/>
    </xf>
    <xf numFmtId="170" fontId="47" fillId="7" borderId="62" xfId="0" applyNumberFormat="1" applyFont="1" applyFill="1" applyBorder="1" applyAlignment="1">
      <alignment horizontal="center" wrapText="1"/>
    </xf>
    <xf numFmtId="170" fontId="47" fillId="7" borderId="79" xfId="0" applyNumberFormat="1" applyFont="1" applyFill="1" applyBorder="1" applyAlignment="1">
      <alignment horizontal="center" wrapText="1"/>
    </xf>
    <xf numFmtId="170" fontId="47" fillId="7" borderId="80" xfId="0" applyNumberFormat="1" applyFont="1" applyFill="1" applyBorder="1" applyAlignment="1">
      <alignment horizontal="center" wrapText="1"/>
    </xf>
    <xf numFmtId="0" fontId="47" fillId="7" borderId="80" xfId="0" applyFont="1" applyFill="1" applyBorder="1" applyAlignment="1">
      <alignment horizontal="center" wrapText="1"/>
    </xf>
    <xf numFmtId="0" fontId="47" fillId="7" borderId="31" xfId="0" applyFont="1" applyFill="1" applyBorder="1" applyAlignment="1">
      <alignment horizontal="center" wrapText="1"/>
    </xf>
    <xf numFmtId="170" fontId="47" fillId="7" borderId="31" xfId="0" applyNumberFormat="1" applyFont="1" applyFill="1" applyBorder="1" applyAlignment="1">
      <alignment horizontal="center" wrapText="1"/>
    </xf>
    <xf numFmtId="0" fontId="45" fillId="7" borderId="0" xfId="0" applyFont="1" applyFill="1"/>
    <xf numFmtId="0" fontId="44" fillId="7" borderId="0" xfId="0" applyFont="1" applyFill="1"/>
    <xf numFmtId="168" fontId="15" fillId="7" borderId="0" xfId="0" applyNumberFormat="1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right"/>
    </xf>
    <xf numFmtId="2" fontId="15" fillId="7" borderId="36" xfId="0" applyNumberFormat="1" applyFont="1" applyFill="1" applyBorder="1" applyAlignment="1">
      <alignment horizontal="center"/>
    </xf>
    <xf numFmtId="2" fontId="15" fillId="7" borderId="37" xfId="0" applyNumberFormat="1" applyFont="1" applyFill="1" applyBorder="1" applyAlignment="1">
      <alignment horizontal="center"/>
    </xf>
    <xf numFmtId="2" fontId="15" fillId="7" borderId="42" xfId="0" applyNumberFormat="1" applyFont="1" applyFill="1" applyBorder="1" applyAlignment="1">
      <alignment horizontal="center"/>
    </xf>
    <xf numFmtId="2" fontId="15" fillId="7" borderId="57" xfId="0" applyNumberFormat="1" applyFont="1" applyFill="1" applyBorder="1" applyAlignment="1">
      <alignment horizontal="center"/>
    </xf>
    <xf numFmtId="0" fontId="15" fillId="7" borderId="106" xfId="0" applyFont="1" applyFill="1" applyBorder="1" applyAlignment="1">
      <alignment horizontal="center"/>
    </xf>
    <xf numFmtId="169" fontId="10" fillId="7" borderId="0" xfId="0" applyNumberFormat="1" applyFont="1" applyFill="1" applyBorder="1" applyAlignment="1">
      <alignment horizontal="center"/>
    </xf>
    <xf numFmtId="169" fontId="15" fillId="7" borderId="0" xfId="0" applyNumberFormat="1" applyFont="1" applyFill="1" applyAlignment="1">
      <alignment horizontal="center"/>
    </xf>
    <xf numFmtId="169" fontId="15" fillId="7" borderId="0" xfId="0" applyNumberFormat="1" applyFont="1" applyFill="1" applyBorder="1" applyAlignment="1">
      <alignment horizontal="center"/>
    </xf>
    <xf numFmtId="169" fontId="10" fillId="7" borderId="0" xfId="0" applyNumberFormat="1" applyFont="1" applyFill="1" applyBorder="1" applyAlignment="1"/>
    <xf numFmtId="169" fontId="15" fillId="7" borderId="0" xfId="0" applyNumberFormat="1" applyFont="1" applyFill="1"/>
    <xf numFmtId="169" fontId="15" fillId="7" borderId="0" xfId="0" applyNumberFormat="1" applyFont="1" applyFill="1" applyAlignment="1">
      <alignment horizontal="right"/>
    </xf>
    <xf numFmtId="169" fontId="15" fillId="7" borderId="0" xfId="0" applyNumberFormat="1" applyFont="1" applyFill="1" applyBorder="1"/>
    <xf numFmtId="4" fontId="15" fillId="7" borderId="153" xfId="0" applyNumberFormat="1" applyFont="1" applyFill="1" applyBorder="1" applyAlignment="1">
      <alignment horizontal="center"/>
    </xf>
    <xf numFmtId="4" fontId="15" fillId="7" borderId="154" xfId="0" applyNumberFormat="1" applyFont="1" applyFill="1" applyBorder="1" applyAlignment="1">
      <alignment horizontal="center"/>
    </xf>
    <xf numFmtId="4" fontId="15" fillId="7" borderId="155" xfId="0" applyNumberFormat="1" applyFont="1" applyFill="1" applyBorder="1" applyAlignment="1">
      <alignment horizontal="center"/>
    </xf>
    <xf numFmtId="165" fontId="15" fillId="7" borderId="36" xfId="0" applyNumberFormat="1" applyFont="1" applyFill="1" applyBorder="1" applyAlignment="1">
      <alignment horizontal="center"/>
    </xf>
    <xf numFmtId="2" fontId="15" fillId="7" borderId="53" xfId="0" applyNumberFormat="1" applyFont="1" applyFill="1" applyBorder="1" applyAlignment="1">
      <alignment horizontal="center"/>
    </xf>
    <xf numFmtId="165" fontId="15" fillId="7" borderId="53" xfId="0" applyNumberFormat="1" applyFont="1" applyFill="1" applyBorder="1" applyAlignment="1">
      <alignment horizontal="center"/>
    </xf>
    <xf numFmtId="165" fontId="15" fillId="7" borderId="32" xfId="0" applyNumberFormat="1" applyFont="1" applyFill="1" applyBorder="1" applyAlignment="1">
      <alignment horizontal="center"/>
    </xf>
    <xf numFmtId="166" fontId="47" fillId="7" borderId="150" xfId="0" applyNumberFormat="1" applyFont="1" applyFill="1" applyBorder="1" applyAlignment="1">
      <alignment horizontal="center"/>
    </xf>
    <xf numFmtId="166" fontId="48" fillId="7" borderId="150" xfId="0" applyNumberFormat="1" applyFont="1" applyFill="1" applyBorder="1" applyAlignment="1">
      <alignment horizontal="center"/>
    </xf>
    <xf numFmtId="171" fontId="15" fillId="7" borderId="33" xfId="0" applyNumberFormat="1" applyFont="1" applyFill="1" applyBorder="1" applyAlignment="1">
      <alignment horizontal="center"/>
    </xf>
    <xf numFmtId="171" fontId="15" fillId="7" borderId="30" xfId="0" applyNumberFormat="1" applyFont="1" applyFill="1" applyBorder="1" applyAlignment="1">
      <alignment horizontal="center"/>
    </xf>
    <xf numFmtId="4" fontId="15" fillId="7" borderId="51" xfId="0" applyNumberFormat="1" applyFont="1" applyFill="1" applyBorder="1" applyAlignment="1">
      <alignment horizontal="center"/>
    </xf>
    <xf numFmtId="166" fontId="15" fillId="7" borderId="150" xfId="0" applyNumberFormat="1" applyFont="1" applyFill="1" applyBorder="1" applyAlignment="1">
      <alignment horizontal="center"/>
    </xf>
    <xf numFmtId="166" fontId="15" fillId="7" borderId="65" xfId="0" applyNumberFormat="1" applyFont="1" applyFill="1" applyBorder="1" applyAlignment="1">
      <alignment horizontal="center"/>
    </xf>
    <xf numFmtId="0" fontId="15" fillId="7" borderId="157" xfId="0" applyFont="1" applyFill="1" applyBorder="1" applyAlignment="1">
      <alignment horizontal="center"/>
    </xf>
    <xf numFmtId="172" fontId="15" fillId="7" borderId="150" xfId="0" applyNumberFormat="1" applyFont="1" applyFill="1" applyBorder="1" applyAlignment="1">
      <alignment horizontal="center"/>
    </xf>
    <xf numFmtId="0" fontId="15" fillId="7" borderId="150" xfId="0" applyFont="1" applyFill="1" applyBorder="1" applyAlignment="1">
      <alignment horizontal="center"/>
    </xf>
    <xf numFmtId="0" fontId="15" fillId="7" borderId="156" xfId="0" applyFont="1" applyFill="1" applyBorder="1" applyAlignment="1">
      <alignment horizontal="center"/>
    </xf>
    <xf numFmtId="172" fontId="15" fillId="7" borderId="149" xfId="0" applyNumberFormat="1" applyFont="1" applyFill="1" applyBorder="1" applyAlignment="1">
      <alignment horizontal="center"/>
    </xf>
    <xf numFmtId="0" fontId="15" fillId="7" borderId="149" xfId="0" applyFont="1" applyFill="1" applyBorder="1" applyAlignment="1">
      <alignment horizontal="center"/>
    </xf>
    <xf numFmtId="0" fontId="15" fillId="7" borderId="158" xfId="0" applyFont="1" applyFill="1" applyBorder="1" applyAlignment="1">
      <alignment horizontal="center"/>
    </xf>
    <xf numFmtId="4" fontId="15" fillId="7" borderId="160" xfId="0" applyNumberFormat="1" applyFont="1" applyFill="1" applyBorder="1" applyAlignment="1">
      <alignment horizontal="center"/>
    </xf>
    <xf numFmtId="166" fontId="15" fillId="7" borderId="149" xfId="0" applyNumberFormat="1" applyFont="1" applyFill="1" applyBorder="1" applyAlignment="1">
      <alignment horizontal="center"/>
    </xf>
    <xf numFmtId="0" fontId="41" fillId="7" borderId="0" xfId="0" applyFont="1" applyFill="1" applyAlignment="1">
      <alignment horizontal="center"/>
    </xf>
    <xf numFmtId="0" fontId="10" fillId="7" borderId="0" xfId="0" applyFont="1" applyFill="1" applyBorder="1" applyAlignment="1">
      <alignment horizontal="center"/>
    </xf>
    <xf numFmtId="166" fontId="48" fillId="7" borderId="34" xfId="0" applyNumberFormat="1" applyFont="1" applyFill="1" applyBorder="1" applyAlignment="1">
      <alignment horizontal="center"/>
    </xf>
    <xf numFmtId="166" fontId="48" fillId="7" borderId="35" xfId="0" applyNumberFormat="1" applyFont="1" applyFill="1" applyBorder="1" applyAlignment="1">
      <alignment horizontal="center"/>
    </xf>
    <xf numFmtId="0" fontId="47" fillId="7" borderId="150" xfId="0" applyFont="1" applyFill="1" applyBorder="1" applyAlignment="1">
      <alignment horizontal="center"/>
    </xf>
    <xf numFmtId="166" fontId="46" fillId="7" borderId="150" xfId="0" applyNumberFormat="1" applyFont="1" applyFill="1" applyBorder="1" applyAlignment="1">
      <alignment horizontal="center"/>
    </xf>
    <xf numFmtId="166" fontId="15" fillId="7" borderId="67" xfId="0" applyNumberFormat="1" applyFont="1" applyFill="1" applyBorder="1" applyAlignment="1">
      <alignment horizontal="center"/>
    </xf>
    <xf numFmtId="0" fontId="10" fillId="7" borderId="0" xfId="0" applyFont="1" applyFill="1" applyBorder="1" applyAlignment="1">
      <alignment vertical="top"/>
    </xf>
    <xf numFmtId="0" fontId="10" fillId="7" borderId="0" xfId="0" applyFont="1" applyFill="1" applyAlignment="1">
      <alignment horizontal="center" vertical="top"/>
    </xf>
    <xf numFmtId="0" fontId="15" fillId="7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0" fillId="7" borderId="0" xfId="0" applyFont="1" applyFill="1"/>
    <xf numFmtId="0" fontId="31" fillId="7" borderId="0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0" borderId="20" xfId="0" applyNumberFormat="1" applyFont="1" applyFill="1" applyBorder="1" applyAlignment="1">
      <alignment horizontal="center"/>
    </xf>
    <xf numFmtId="0" fontId="0" fillId="3" borderId="53" xfId="0" applyFill="1" applyBorder="1"/>
    <xf numFmtId="0" fontId="0" fillId="3" borderId="36" xfId="0" applyFill="1" applyBorder="1"/>
    <xf numFmtId="0" fontId="26" fillId="2" borderId="36" xfId="0" applyFont="1" applyFill="1" applyBorder="1" applyAlignment="1">
      <alignment horizontal="center"/>
    </xf>
    <xf numFmtId="0" fontId="0" fillId="3" borderId="66" xfId="0" applyFill="1" applyBorder="1"/>
    <xf numFmtId="0" fontId="50" fillId="2" borderId="0" xfId="0" applyFont="1" applyFill="1" applyBorder="1" applyAlignment="1">
      <alignment horizontal="center"/>
    </xf>
    <xf numFmtId="0" fontId="51" fillId="2" borderId="0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center"/>
    </xf>
    <xf numFmtId="0" fontId="15" fillId="0" borderId="18" xfId="0" applyNumberFormat="1" applyFont="1" applyFill="1" applyBorder="1" applyAlignment="1">
      <alignment horizontal="center"/>
    </xf>
    <xf numFmtId="0" fontId="15" fillId="0" borderId="23" xfId="0" applyNumberFormat="1" applyFont="1" applyFill="1" applyBorder="1" applyAlignment="1">
      <alignment horizontal="center"/>
    </xf>
    <xf numFmtId="0" fontId="17" fillId="0" borderId="19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center" vertical="top" wrapText="1"/>
    </xf>
    <xf numFmtId="0" fontId="15" fillId="0" borderId="24" xfId="0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2" fontId="15" fillId="0" borderId="20" xfId="0" applyNumberFormat="1" applyFont="1" applyFill="1" applyBorder="1" applyAlignment="1">
      <alignment horizontal="center"/>
    </xf>
    <xf numFmtId="49" fontId="45" fillId="7" borderId="0" xfId="0" applyNumberFormat="1" applyFont="1" applyFill="1"/>
    <xf numFmtId="49" fontId="2" fillId="2" borderId="87" xfId="0" applyNumberFormat="1" applyFont="1" applyFill="1" applyBorder="1" applyAlignment="1">
      <alignment horizontal="center"/>
    </xf>
    <xf numFmtId="49" fontId="2" fillId="2" borderId="92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right"/>
    </xf>
    <xf numFmtId="0" fontId="10" fillId="7" borderId="0" xfId="0" applyFont="1" applyFill="1" applyBorder="1" applyAlignment="1">
      <alignment horizontal="center"/>
    </xf>
    <xf numFmtId="167" fontId="7" fillId="6" borderId="93" xfId="0" applyNumberFormat="1" applyFont="1" applyFill="1" applyBorder="1" applyAlignment="1" applyProtection="1">
      <alignment horizontal="center"/>
      <protection locked="0"/>
    </xf>
    <xf numFmtId="167" fontId="7" fillId="6" borderId="21" xfId="0" applyNumberFormat="1" applyFont="1" applyFill="1" applyBorder="1" applyAlignment="1" applyProtection="1">
      <alignment horizontal="center"/>
      <protection locked="0"/>
    </xf>
    <xf numFmtId="0" fontId="15" fillId="7" borderId="67" xfId="0" applyFont="1" applyFill="1" applyBorder="1" applyAlignment="1">
      <alignment horizontal="left"/>
    </xf>
    <xf numFmtId="0" fontId="15" fillId="7" borderId="51" xfId="0" applyFont="1" applyFill="1" applyBorder="1" applyAlignment="1">
      <alignment horizontal="left"/>
    </xf>
    <xf numFmtId="0" fontId="15" fillId="7" borderId="94" xfId="0" applyFont="1" applyFill="1" applyBorder="1" applyAlignment="1">
      <alignment horizontal="left"/>
    </xf>
    <xf numFmtId="0" fontId="15" fillId="7" borderId="65" xfId="0" applyFont="1" applyFill="1" applyBorder="1" applyAlignment="1">
      <alignment horizontal="left"/>
    </xf>
    <xf numFmtId="0" fontId="15" fillId="7" borderId="36" xfId="0" applyFont="1" applyFill="1" applyBorder="1" applyAlignment="1">
      <alignment horizontal="left"/>
    </xf>
    <xf numFmtId="0" fontId="15" fillId="7" borderId="95" xfId="0" applyFont="1" applyFill="1" applyBorder="1" applyAlignment="1">
      <alignment horizontal="left"/>
    </xf>
    <xf numFmtId="167" fontId="10" fillId="7" borderId="96" xfId="0" applyNumberFormat="1" applyFont="1" applyFill="1" applyBorder="1" applyAlignment="1">
      <alignment horizontal="center"/>
    </xf>
    <xf numFmtId="0" fontId="0" fillId="7" borderId="97" xfId="0" applyFill="1" applyBorder="1"/>
    <xf numFmtId="0" fontId="36" fillId="7" borderId="141" xfId="0" applyFont="1" applyFill="1" applyBorder="1" applyAlignment="1">
      <alignment horizontal="left" wrapText="1"/>
    </xf>
    <xf numFmtId="0" fontId="36" fillId="7" borderId="0" xfId="0" applyFont="1" applyFill="1" applyBorder="1" applyAlignment="1">
      <alignment horizontal="left" wrapText="1"/>
    </xf>
    <xf numFmtId="0" fontId="36" fillId="7" borderId="142" xfId="0" applyFont="1" applyFill="1" applyBorder="1" applyAlignment="1">
      <alignment horizontal="left" wrapText="1"/>
    </xf>
    <xf numFmtId="0" fontId="12" fillId="7" borderId="117" xfId="0" applyFont="1" applyFill="1" applyBorder="1" applyAlignment="1">
      <alignment horizontal="center" wrapText="1"/>
    </xf>
    <xf numFmtId="0" fontId="0" fillId="7" borderId="68" xfId="0" applyFill="1" applyBorder="1"/>
    <xf numFmtId="0" fontId="15" fillId="7" borderId="0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left"/>
    </xf>
    <xf numFmtId="0" fontId="10" fillId="7" borderId="14" xfId="0" applyFont="1" applyFill="1" applyBorder="1" applyAlignment="1">
      <alignment horizontal="center"/>
    </xf>
    <xf numFmtId="0" fontId="8" fillId="7" borderId="85" xfId="0" applyFont="1" applyFill="1" applyBorder="1" applyAlignment="1">
      <alignment horizontal="center"/>
    </xf>
    <xf numFmtId="49" fontId="15" fillId="7" borderId="0" xfId="0" applyNumberFormat="1" applyFont="1" applyFill="1" applyBorder="1" applyAlignment="1">
      <alignment horizontal="center"/>
    </xf>
    <xf numFmtId="49" fontId="15" fillId="7" borderId="12" xfId="0" applyNumberFormat="1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 wrapText="1"/>
    </xf>
    <xf numFmtId="0" fontId="15" fillId="7" borderId="0" xfId="0" applyFont="1" applyFill="1" applyBorder="1" applyAlignment="1">
      <alignment horizontal="center" wrapText="1"/>
    </xf>
    <xf numFmtId="167" fontId="10" fillId="7" borderId="98" xfId="0" applyNumberFormat="1" applyFont="1" applyFill="1" applyBorder="1" applyAlignment="1">
      <alignment horizontal="center"/>
    </xf>
    <xf numFmtId="0" fontId="0" fillId="7" borderId="99" xfId="0" applyFill="1" applyBorder="1"/>
    <xf numFmtId="2" fontId="27" fillId="7" borderId="0" xfId="0" applyNumberFormat="1" applyFont="1" applyFill="1" applyBorder="1" applyAlignment="1">
      <alignment horizontal="center"/>
    </xf>
    <xf numFmtId="167" fontId="24" fillId="7" borderId="44" xfId="0" applyNumberFormat="1" applyFont="1" applyFill="1" applyBorder="1" applyAlignment="1">
      <alignment horizontal="center"/>
    </xf>
    <xf numFmtId="167" fontId="24" fillId="7" borderId="84" xfId="0" applyNumberFormat="1" applyFont="1" applyFill="1" applyBorder="1" applyAlignment="1">
      <alignment horizontal="center"/>
    </xf>
    <xf numFmtId="167" fontId="24" fillId="7" borderId="108" xfId="0" applyNumberFormat="1" applyFont="1" applyFill="1" applyBorder="1" applyAlignment="1">
      <alignment horizontal="center"/>
    </xf>
    <xf numFmtId="0" fontId="10" fillId="8" borderId="102" xfId="0" applyFont="1" applyFill="1" applyBorder="1" applyAlignment="1">
      <alignment horizontal="center"/>
    </xf>
    <xf numFmtId="0" fontId="10" fillId="8" borderId="84" xfId="0" applyFont="1" applyFill="1" applyBorder="1" applyAlignment="1">
      <alignment horizontal="center"/>
    </xf>
    <xf numFmtId="0" fontId="10" fillId="8" borderId="103" xfId="0" applyFont="1" applyFill="1" applyBorder="1" applyAlignment="1">
      <alignment horizontal="center"/>
    </xf>
    <xf numFmtId="2" fontId="10" fillId="8" borderId="102" xfId="0" applyNumberFormat="1" applyFont="1" applyFill="1" applyBorder="1" applyAlignment="1">
      <alignment horizontal="center"/>
    </xf>
    <xf numFmtId="2" fontId="10" fillId="8" borderId="84" xfId="0" applyNumberFormat="1" applyFont="1" applyFill="1" applyBorder="1" applyAlignment="1">
      <alignment horizontal="center"/>
    </xf>
    <xf numFmtId="2" fontId="10" fillId="8" borderId="103" xfId="0" applyNumberFormat="1" applyFont="1" applyFill="1" applyBorder="1" applyAlignment="1">
      <alignment horizontal="center"/>
    </xf>
    <xf numFmtId="2" fontId="10" fillId="7" borderId="102" xfId="0" applyNumberFormat="1" applyFont="1" applyFill="1" applyBorder="1" applyAlignment="1">
      <alignment horizontal="center"/>
    </xf>
    <xf numFmtId="2" fontId="10" fillId="7" borderId="103" xfId="0" applyNumberFormat="1" applyFont="1" applyFill="1" applyBorder="1" applyAlignment="1">
      <alignment horizontal="center"/>
    </xf>
    <xf numFmtId="2" fontId="24" fillId="7" borderId="44" xfId="0" applyNumberFormat="1" applyFont="1" applyFill="1" applyBorder="1" applyAlignment="1">
      <alignment horizontal="center"/>
    </xf>
    <xf numFmtId="2" fontId="24" fillId="7" borderId="84" xfId="0" applyNumberFormat="1" applyFont="1" applyFill="1" applyBorder="1" applyAlignment="1">
      <alignment horizontal="center"/>
    </xf>
    <xf numFmtId="2" fontId="24" fillId="7" borderId="108" xfId="0" applyNumberFormat="1" applyFont="1" applyFill="1" applyBorder="1" applyAlignment="1">
      <alignment horizontal="center"/>
    </xf>
    <xf numFmtId="167" fontId="10" fillId="7" borderId="102" xfId="0" applyNumberFormat="1" applyFont="1" applyFill="1" applyBorder="1" applyAlignment="1">
      <alignment horizontal="center"/>
    </xf>
    <xf numFmtId="167" fontId="10" fillId="7" borderId="103" xfId="0" applyNumberFormat="1" applyFont="1" applyFill="1" applyBorder="1" applyAlignment="1">
      <alignment horizontal="center"/>
    </xf>
    <xf numFmtId="0" fontId="15" fillId="7" borderId="109" xfId="0" applyFont="1" applyFill="1" applyBorder="1" applyAlignment="1">
      <alignment horizontal="center"/>
    </xf>
    <xf numFmtId="0" fontId="15" fillId="7" borderId="110" xfId="0" applyFont="1" applyFill="1" applyBorder="1" applyAlignment="1">
      <alignment horizontal="center"/>
    </xf>
    <xf numFmtId="0" fontId="15" fillId="7" borderId="111" xfId="0" applyFont="1" applyFill="1" applyBorder="1" applyAlignment="1">
      <alignment horizontal="center" wrapText="1"/>
    </xf>
    <xf numFmtId="0" fontId="15" fillId="7" borderId="112" xfId="0" applyFont="1" applyFill="1" applyBorder="1" applyAlignment="1">
      <alignment horizontal="center" wrapText="1"/>
    </xf>
    <xf numFmtId="0" fontId="15" fillId="7" borderId="15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5" fillId="7" borderId="112" xfId="0" applyFont="1" applyFill="1" applyBorder="1" applyAlignment="1">
      <alignment horizontal="center" vertical="center"/>
    </xf>
    <xf numFmtId="0" fontId="15" fillId="7" borderId="113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64" xfId="0" applyFont="1" applyFill="1" applyBorder="1" applyAlignment="1">
      <alignment horizontal="center" wrapText="1"/>
    </xf>
    <xf numFmtId="0" fontId="15" fillId="7" borderId="30" xfId="0" applyFont="1" applyFill="1" applyBorder="1" applyAlignment="1">
      <alignment horizontal="center" wrapText="1"/>
    </xf>
    <xf numFmtId="0" fontId="15" fillId="7" borderId="78" xfId="0" applyFont="1" applyFill="1" applyBorder="1" applyAlignment="1">
      <alignment horizontal="center"/>
    </xf>
    <xf numFmtId="0" fontId="15" fillId="7" borderId="74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 wrapText="1"/>
    </xf>
    <xf numFmtId="0" fontId="15" fillId="7" borderId="29" xfId="0" applyFont="1" applyFill="1" applyBorder="1" applyAlignment="1">
      <alignment horizontal="center" wrapText="1"/>
    </xf>
    <xf numFmtId="0" fontId="15" fillId="7" borderId="70" xfId="0" applyFont="1" applyFill="1" applyBorder="1" applyAlignment="1">
      <alignment horizontal="center" wrapText="1"/>
    </xf>
    <xf numFmtId="0" fontId="15" fillId="7" borderId="72" xfId="0" applyFont="1" applyFill="1" applyBorder="1" applyAlignment="1">
      <alignment horizont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73" xfId="0" applyFont="1" applyFill="1" applyBorder="1" applyAlignment="1">
      <alignment horizontal="center" wrapText="1"/>
    </xf>
    <xf numFmtId="0" fontId="15" fillId="7" borderId="106" xfId="0" applyFont="1" applyFill="1" applyBorder="1" applyAlignment="1">
      <alignment horizontal="center" wrapText="1"/>
    </xf>
    <xf numFmtId="0" fontId="15" fillId="7" borderId="114" xfId="0" applyFont="1" applyFill="1" applyBorder="1" applyAlignment="1">
      <alignment horizontal="center" wrapText="1"/>
    </xf>
    <xf numFmtId="0" fontId="15" fillId="7" borderId="26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0" fontId="15" fillId="7" borderId="115" xfId="0" applyFont="1" applyFill="1" applyBorder="1" applyAlignment="1">
      <alignment horizontal="center" vertical="center"/>
    </xf>
    <xf numFmtId="0" fontId="15" fillId="7" borderId="116" xfId="0" applyFont="1" applyFill="1" applyBorder="1" applyAlignment="1">
      <alignment horizontal="center" vertical="center"/>
    </xf>
    <xf numFmtId="0" fontId="15" fillId="7" borderId="67" xfId="0" applyFont="1" applyFill="1" applyBorder="1" applyAlignment="1">
      <alignment horizontal="center"/>
    </xf>
    <xf numFmtId="0" fontId="15" fillId="7" borderId="51" xfId="0" applyFont="1" applyFill="1" applyBorder="1" applyAlignment="1">
      <alignment horizontal="center"/>
    </xf>
    <xf numFmtId="0" fontId="15" fillId="7" borderId="94" xfId="0" applyFont="1" applyFill="1" applyBorder="1" applyAlignment="1">
      <alignment horizontal="center"/>
    </xf>
    <xf numFmtId="0" fontId="15" fillId="7" borderId="93" xfId="0" applyFont="1" applyFill="1" applyBorder="1" applyAlignment="1">
      <alignment horizontal="center"/>
    </xf>
    <xf numFmtId="0" fontId="15" fillId="7" borderId="84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7" borderId="70" xfId="0" applyFont="1" applyFill="1" applyBorder="1" applyAlignment="1">
      <alignment horizontal="center" vertical="center"/>
    </xf>
    <xf numFmtId="0" fontId="15" fillId="7" borderId="72" xfId="0" applyFont="1" applyFill="1" applyBorder="1" applyAlignment="1">
      <alignment horizontal="center" vertical="center"/>
    </xf>
    <xf numFmtId="0" fontId="15" fillId="7" borderId="56" xfId="0" applyFont="1" applyFill="1" applyBorder="1" applyAlignment="1">
      <alignment horizontal="center" wrapText="1"/>
    </xf>
    <xf numFmtId="0" fontId="15" fillId="7" borderId="51" xfId="0" applyFont="1" applyFill="1" applyBorder="1" applyAlignment="1">
      <alignment horizontal="center" wrapText="1"/>
    </xf>
    <xf numFmtId="0" fontId="15" fillId="7" borderId="94" xfId="0" applyFont="1" applyFill="1" applyBorder="1" applyAlignment="1">
      <alignment horizontal="center" wrapText="1"/>
    </xf>
    <xf numFmtId="0" fontId="15" fillId="7" borderId="118" xfId="0" applyFont="1" applyFill="1" applyBorder="1" applyAlignment="1">
      <alignment horizontal="center" wrapText="1"/>
    </xf>
    <xf numFmtId="0" fontId="15" fillId="7" borderId="111" xfId="0" applyFont="1" applyFill="1" applyBorder="1" applyAlignment="1">
      <alignment horizontal="left"/>
    </xf>
    <xf numFmtId="0" fontId="15" fillId="7" borderId="91" xfId="0" applyFont="1" applyFill="1" applyBorder="1" applyAlignment="1">
      <alignment horizontal="left"/>
    </xf>
    <xf numFmtId="0" fontId="15" fillId="7" borderId="121" xfId="0" applyFont="1" applyFill="1" applyBorder="1" applyAlignment="1">
      <alignment horizontal="left"/>
    </xf>
    <xf numFmtId="0" fontId="15" fillId="7" borderId="112" xfId="0" applyFont="1" applyFill="1" applyBorder="1" applyAlignment="1">
      <alignment horizontal="left"/>
    </xf>
    <xf numFmtId="0" fontId="15" fillId="7" borderId="113" xfId="0" applyFont="1" applyFill="1" applyBorder="1" applyAlignment="1">
      <alignment horizontal="left"/>
    </xf>
    <xf numFmtId="0" fontId="15" fillId="7" borderId="17" xfId="0" applyFont="1" applyFill="1" applyBorder="1" applyAlignment="1">
      <alignment horizontal="left"/>
    </xf>
    <xf numFmtId="0" fontId="15" fillId="7" borderId="73" xfId="0" applyFont="1" applyFill="1" applyBorder="1" applyAlignment="1">
      <alignment horizontal="center"/>
    </xf>
    <xf numFmtId="0" fontId="15" fillId="7" borderId="106" xfId="0" applyFont="1" applyFill="1" applyBorder="1" applyAlignment="1">
      <alignment horizontal="center"/>
    </xf>
    <xf numFmtId="0" fontId="15" fillId="7" borderId="114" xfId="0" applyFont="1" applyFill="1" applyBorder="1" applyAlignment="1">
      <alignment horizontal="center"/>
    </xf>
    <xf numFmtId="0" fontId="15" fillId="7" borderId="122" xfId="0" applyFont="1" applyFill="1" applyBorder="1" applyAlignment="1">
      <alignment horizontal="center" wrapText="1"/>
    </xf>
    <xf numFmtId="0" fontId="15" fillId="7" borderId="123" xfId="0" applyFont="1" applyFill="1" applyBorder="1" applyAlignment="1">
      <alignment horizontal="center" wrapText="1"/>
    </xf>
    <xf numFmtId="0" fontId="15" fillId="7" borderId="73" xfId="0" applyFont="1" applyFill="1" applyBorder="1" applyAlignment="1">
      <alignment horizontal="left"/>
    </xf>
    <xf numFmtId="0" fontId="15" fillId="7" borderId="106" xfId="0" applyFont="1" applyFill="1" applyBorder="1" applyAlignment="1">
      <alignment horizontal="left"/>
    </xf>
    <xf numFmtId="0" fontId="15" fillId="7" borderId="114" xfId="0" applyFont="1" applyFill="1" applyBorder="1" applyAlignment="1">
      <alignment horizontal="left"/>
    </xf>
    <xf numFmtId="0" fontId="15" fillId="7" borderId="104" xfId="0" applyFont="1" applyFill="1" applyBorder="1" applyAlignment="1">
      <alignment horizontal="center" wrapText="1"/>
    </xf>
    <xf numFmtId="0" fontId="15" fillId="7" borderId="105" xfId="0" applyFont="1" applyFill="1" applyBorder="1" applyAlignment="1">
      <alignment horizontal="center" wrapText="1"/>
    </xf>
    <xf numFmtId="0" fontId="15" fillId="7" borderId="111" xfId="0" applyFont="1" applyFill="1" applyBorder="1" applyAlignment="1">
      <alignment horizontal="center"/>
    </xf>
    <xf numFmtId="0" fontId="15" fillId="7" borderId="91" xfId="0" applyFont="1" applyFill="1" applyBorder="1" applyAlignment="1">
      <alignment horizontal="center"/>
    </xf>
    <xf numFmtId="0" fontId="15" fillId="7" borderId="159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2" fillId="7" borderId="100" xfId="0" applyFont="1" applyFill="1" applyBorder="1" applyAlignment="1">
      <alignment horizontal="center"/>
    </xf>
    <xf numFmtId="0" fontId="0" fillId="7" borderId="101" xfId="0" applyFill="1" applyBorder="1"/>
    <xf numFmtId="3" fontId="12" fillId="7" borderId="98" xfId="0" applyNumberFormat="1" applyFont="1" applyFill="1" applyBorder="1" applyAlignment="1">
      <alignment horizontal="center"/>
    </xf>
    <xf numFmtId="167" fontId="10" fillId="7" borderId="100" xfId="0" applyNumberFormat="1" applyFont="1" applyFill="1" applyBorder="1" applyAlignment="1">
      <alignment horizontal="center"/>
    </xf>
    <xf numFmtId="0" fontId="13" fillId="7" borderId="85" xfId="0" applyFont="1" applyFill="1" applyBorder="1" applyAlignment="1">
      <alignment horizontal="center"/>
    </xf>
    <xf numFmtId="0" fontId="14" fillId="7" borderId="8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center"/>
    </xf>
    <xf numFmtId="0" fontId="15" fillId="7" borderId="77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5" fillId="7" borderId="119" xfId="0" applyFont="1" applyFill="1" applyBorder="1" applyAlignment="1">
      <alignment horizontal="center" wrapText="1"/>
    </xf>
    <xf numFmtId="0" fontId="15" fillId="7" borderId="80" xfId="0" applyFont="1" applyFill="1" applyBorder="1" applyAlignment="1">
      <alignment horizontal="center" wrapText="1"/>
    </xf>
    <xf numFmtId="0" fontId="15" fillId="7" borderId="120" xfId="0" applyFont="1" applyFill="1" applyBorder="1" applyAlignment="1">
      <alignment horizontal="center" wrapText="1"/>
    </xf>
    <xf numFmtId="0" fontId="15" fillId="7" borderId="23" xfId="0" applyFont="1" applyFill="1" applyBorder="1" applyAlignment="1">
      <alignment horizontal="center" wrapText="1"/>
    </xf>
    <xf numFmtId="0" fontId="15" fillId="7" borderId="152" xfId="0" applyFont="1" applyFill="1" applyBorder="1" applyAlignment="1">
      <alignment horizontal="center" wrapText="1"/>
    </xf>
    <xf numFmtId="0" fontId="15" fillId="7" borderId="16" xfId="0" applyFont="1" applyFill="1" applyBorder="1" applyAlignment="1">
      <alignment horizontal="center" wrapText="1"/>
    </xf>
    <xf numFmtId="4" fontId="49" fillId="7" borderId="143" xfId="0" applyNumberFormat="1" applyFont="1" applyFill="1" applyBorder="1" applyAlignment="1">
      <alignment horizontal="left" wrapText="1"/>
    </xf>
    <xf numFmtId="4" fontId="49" fillId="7" borderId="144" xfId="0" applyNumberFormat="1" applyFont="1" applyFill="1" applyBorder="1" applyAlignment="1">
      <alignment horizontal="left" wrapText="1"/>
    </xf>
    <xf numFmtId="4" fontId="49" fillId="7" borderId="145" xfId="0" applyNumberFormat="1" applyFont="1" applyFill="1" applyBorder="1" applyAlignment="1">
      <alignment horizontal="left" wrapText="1"/>
    </xf>
    <xf numFmtId="4" fontId="35" fillId="7" borderId="141" xfId="0" applyNumberFormat="1" applyFont="1" applyFill="1" applyBorder="1" applyAlignment="1">
      <alignment horizontal="left" wrapText="1"/>
    </xf>
    <xf numFmtId="4" fontId="35" fillId="7" borderId="0" xfId="0" applyNumberFormat="1" applyFont="1" applyFill="1" applyBorder="1" applyAlignment="1">
      <alignment horizontal="left" wrapText="1"/>
    </xf>
    <xf numFmtId="4" fontId="35" fillId="7" borderId="142" xfId="0" applyNumberFormat="1" applyFont="1" applyFill="1" applyBorder="1" applyAlignment="1">
      <alignment horizontal="left" wrapText="1"/>
    </xf>
    <xf numFmtId="0" fontId="6" fillId="7" borderId="146" xfId="0" applyFont="1" applyFill="1" applyBorder="1" applyAlignment="1">
      <alignment horizontal="center"/>
    </xf>
    <xf numFmtId="0" fontId="6" fillId="7" borderId="147" xfId="0" applyFont="1" applyFill="1" applyBorder="1" applyAlignment="1">
      <alignment horizontal="center"/>
    </xf>
    <xf numFmtId="0" fontId="6" fillId="7" borderId="148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7" borderId="113" xfId="0" applyFont="1" applyFill="1" applyBorder="1" applyAlignment="1">
      <alignment horizontal="center"/>
    </xf>
    <xf numFmtId="0" fontId="15" fillId="7" borderId="77" xfId="0" applyFont="1" applyFill="1" applyBorder="1" applyAlignment="1">
      <alignment horizontal="center" wrapText="1"/>
    </xf>
    <xf numFmtId="0" fontId="15" fillId="7" borderId="76" xfId="0" applyFont="1" applyFill="1" applyBorder="1" applyAlignment="1">
      <alignment horizontal="center" wrapText="1"/>
    </xf>
    <xf numFmtId="0" fontId="15" fillId="7" borderId="32" xfId="0" applyFont="1" applyFill="1" applyBorder="1" applyAlignment="1">
      <alignment horizontal="center" wrapText="1"/>
    </xf>
    <xf numFmtId="0" fontId="31" fillId="7" borderId="0" xfId="0" applyFont="1" applyFill="1" applyBorder="1" applyAlignment="1">
      <alignment horizontal="center"/>
    </xf>
    <xf numFmtId="0" fontId="15" fillId="7" borderId="61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7" borderId="124" xfId="0" applyFont="1" applyFill="1" applyBorder="1" applyAlignment="1">
      <alignment horizontal="center"/>
    </xf>
    <xf numFmtId="0" fontId="15" fillId="7" borderId="62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0" fillId="7" borderId="102" xfId="0" applyFont="1" applyFill="1" applyBorder="1" applyAlignment="1">
      <alignment horizontal="center"/>
    </xf>
    <xf numFmtId="0" fontId="10" fillId="7" borderId="103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0" fillId="7" borderId="85" xfId="0" applyFill="1" applyBorder="1"/>
    <xf numFmtId="0" fontId="36" fillId="7" borderId="125" xfId="0" applyFont="1" applyFill="1" applyBorder="1" applyAlignment="1">
      <alignment horizontal="center"/>
    </xf>
    <xf numFmtId="0" fontId="36" fillId="7" borderId="0" xfId="0" applyFont="1" applyFill="1" applyBorder="1" applyAlignment="1">
      <alignment horizontal="center"/>
    </xf>
    <xf numFmtId="0" fontId="36" fillId="7" borderId="126" xfId="0" applyFont="1" applyFill="1" applyBorder="1" applyAlignment="1">
      <alignment horizontal="center"/>
    </xf>
    <xf numFmtId="4" fontId="35" fillId="7" borderId="125" xfId="0" applyNumberFormat="1" applyFont="1" applyFill="1" applyBorder="1" applyAlignment="1">
      <alignment horizontal="center"/>
    </xf>
    <xf numFmtId="4" fontId="35" fillId="7" borderId="0" xfId="0" applyNumberFormat="1" applyFont="1" applyFill="1" applyBorder="1" applyAlignment="1">
      <alignment horizontal="center"/>
    </xf>
    <xf numFmtId="4" fontId="35" fillId="7" borderId="126" xfId="0" applyNumberFormat="1" applyFont="1" applyFill="1" applyBorder="1" applyAlignment="1">
      <alignment horizontal="center"/>
    </xf>
    <xf numFmtId="0" fontId="12" fillId="7" borderId="68" xfId="0" applyFont="1" applyFill="1" applyBorder="1" applyAlignment="1">
      <alignment horizontal="center" wrapText="1"/>
    </xf>
    <xf numFmtId="0" fontId="39" fillId="7" borderId="0" xfId="0" applyFont="1" applyFill="1" applyAlignment="1">
      <alignment horizontal="center"/>
    </xf>
    <xf numFmtId="0" fontId="10" fillId="7" borderId="84" xfId="0" applyFont="1" applyFill="1" applyBorder="1" applyAlignment="1">
      <alignment horizontal="center"/>
    </xf>
    <xf numFmtId="0" fontId="39" fillId="7" borderId="0" xfId="0" applyFont="1" applyFill="1" applyAlignment="1">
      <alignment horizontal="center" vertical="center" wrapText="1"/>
    </xf>
    <xf numFmtId="0" fontId="6" fillId="7" borderId="127" xfId="0" applyFont="1" applyFill="1" applyBorder="1" applyAlignment="1">
      <alignment horizontal="center"/>
    </xf>
    <xf numFmtId="0" fontId="6" fillId="7" borderId="128" xfId="0" applyFont="1" applyFill="1" applyBorder="1" applyAlignment="1">
      <alignment horizontal="center"/>
    </xf>
    <xf numFmtId="0" fontId="6" fillId="7" borderId="129" xfId="0" applyFont="1" applyFill="1" applyBorder="1" applyAlignment="1">
      <alignment horizontal="center"/>
    </xf>
    <xf numFmtId="4" fontId="36" fillId="7" borderId="125" xfId="0" applyNumberFormat="1" applyFont="1" applyFill="1" applyBorder="1" applyAlignment="1">
      <alignment horizontal="center" vertical="center" wrapText="1"/>
    </xf>
    <xf numFmtId="4" fontId="36" fillId="7" borderId="0" xfId="0" applyNumberFormat="1" applyFont="1" applyFill="1" applyBorder="1" applyAlignment="1">
      <alignment horizontal="center" vertical="center" wrapText="1"/>
    </xf>
    <xf numFmtId="4" fontId="36" fillId="7" borderId="126" xfId="0" applyNumberFormat="1" applyFont="1" applyFill="1" applyBorder="1" applyAlignment="1">
      <alignment horizontal="center" vertical="center" wrapText="1"/>
    </xf>
    <xf numFmtId="4" fontId="36" fillId="7" borderId="130" xfId="0" applyNumberFormat="1" applyFont="1" applyFill="1" applyBorder="1" applyAlignment="1">
      <alignment horizontal="center" vertical="center" wrapText="1"/>
    </xf>
    <xf numFmtId="4" fontId="36" fillId="7" borderId="131" xfId="0" applyNumberFormat="1" applyFont="1" applyFill="1" applyBorder="1" applyAlignment="1">
      <alignment horizontal="center" vertical="center" wrapText="1"/>
    </xf>
    <xf numFmtId="4" fontId="36" fillId="7" borderId="132" xfId="0" applyNumberFormat="1" applyFont="1" applyFill="1" applyBorder="1" applyAlignment="1">
      <alignment horizontal="center" vertical="center" wrapText="1"/>
    </xf>
    <xf numFmtId="0" fontId="0" fillId="7" borderId="103" xfId="0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0" fontId="0" fillId="7" borderId="108" xfId="0" applyFill="1" applyBorder="1" applyAlignment="1">
      <alignment horizontal="center"/>
    </xf>
    <xf numFmtId="0" fontId="36" fillId="7" borderId="125" xfId="0" applyFont="1" applyFill="1" applyBorder="1" applyAlignment="1">
      <alignment horizontal="left"/>
    </xf>
    <xf numFmtId="0" fontId="36" fillId="7" borderId="0" xfId="0" applyFont="1" applyFill="1" applyBorder="1" applyAlignment="1">
      <alignment horizontal="left"/>
    </xf>
    <xf numFmtId="0" fontId="36" fillId="7" borderId="126" xfId="0" applyFont="1" applyFill="1" applyBorder="1" applyAlignment="1">
      <alignment horizontal="left"/>
    </xf>
    <xf numFmtId="0" fontId="43" fillId="7" borderId="125" xfId="0" applyFont="1" applyFill="1" applyBorder="1" applyAlignment="1">
      <alignment horizontal="left"/>
    </xf>
    <xf numFmtId="0" fontId="43" fillId="7" borderId="0" xfId="0" applyFont="1" applyFill="1" applyBorder="1" applyAlignment="1">
      <alignment horizontal="left"/>
    </xf>
    <xf numFmtId="0" fontId="43" fillId="7" borderId="126" xfId="0" applyFont="1" applyFill="1" applyBorder="1" applyAlignment="1">
      <alignment horizontal="left"/>
    </xf>
    <xf numFmtId="0" fontId="49" fillId="7" borderId="130" xfId="0" applyFont="1" applyFill="1" applyBorder="1" applyAlignment="1">
      <alignment horizontal="left"/>
    </xf>
    <xf numFmtId="0" fontId="49" fillId="7" borderId="131" xfId="0" applyFont="1" applyFill="1" applyBorder="1" applyAlignment="1">
      <alignment horizontal="left"/>
    </xf>
    <xf numFmtId="0" fontId="49" fillId="7" borderId="132" xfId="0" applyFont="1" applyFill="1" applyBorder="1" applyAlignment="1">
      <alignment horizontal="left"/>
    </xf>
    <xf numFmtId="0" fontId="15" fillId="7" borderId="107" xfId="0" applyFont="1" applyFill="1" applyBorder="1" applyAlignment="1">
      <alignment horizontal="center"/>
    </xf>
    <xf numFmtId="164" fontId="10" fillId="7" borderId="96" xfId="0" applyNumberFormat="1" applyFont="1" applyFill="1" applyBorder="1" applyAlignment="1">
      <alignment horizontal="center"/>
    </xf>
    <xf numFmtId="164" fontId="0" fillId="7" borderId="97" xfId="0" applyNumberFormat="1" applyFill="1" applyBorder="1"/>
    <xf numFmtId="0" fontId="13" fillId="7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164" fontId="15" fillId="7" borderId="48" xfId="0" applyNumberFormat="1" applyFont="1" applyFill="1" applyBorder="1" applyAlignment="1">
      <alignment horizontal="center" vertical="center" wrapText="1"/>
    </xf>
    <xf numFmtId="2" fontId="15" fillId="7" borderId="48" xfId="0" applyNumberFormat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left" vertical="center" wrapText="1"/>
    </xf>
    <xf numFmtId="2" fontId="15" fillId="7" borderId="120" xfId="0" applyNumberFormat="1" applyFont="1" applyFill="1" applyBorder="1" applyAlignment="1">
      <alignment horizontal="center" wrapText="1"/>
    </xf>
    <xf numFmtId="2" fontId="15" fillId="7" borderId="23" xfId="0" applyNumberFormat="1" applyFont="1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/>
    </xf>
    <xf numFmtId="0" fontId="15" fillId="7" borderId="65" xfId="0" applyFont="1" applyFill="1" applyBorder="1" applyAlignment="1">
      <alignment horizontal="center"/>
    </xf>
    <xf numFmtId="0" fontId="15" fillId="7" borderId="36" xfId="0" applyFont="1" applyFill="1" applyBorder="1" applyAlignment="1">
      <alignment horizontal="center"/>
    </xf>
    <xf numFmtId="0" fontId="15" fillId="7" borderId="95" xfId="0" applyFont="1" applyFill="1" applyBorder="1" applyAlignment="1">
      <alignment horizontal="center"/>
    </xf>
    <xf numFmtId="2" fontId="15" fillId="7" borderId="104" xfId="0" applyNumberFormat="1" applyFont="1" applyFill="1" applyBorder="1" applyAlignment="1">
      <alignment horizontal="center" wrapText="1"/>
    </xf>
    <xf numFmtId="2" fontId="15" fillId="7" borderId="105" xfId="0" applyNumberFormat="1" applyFont="1" applyFill="1" applyBorder="1" applyAlignment="1">
      <alignment horizontal="center" wrapText="1"/>
    </xf>
    <xf numFmtId="164" fontId="24" fillId="7" borderId="44" xfId="0" applyNumberFormat="1" applyFont="1" applyFill="1" applyBorder="1" applyAlignment="1">
      <alignment horizontal="center"/>
    </xf>
    <xf numFmtId="164" fontId="24" fillId="7" borderId="84" xfId="0" applyNumberFormat="1" applyFont="1" applyFill="1" applyBorder="1" applyAlignment="1">
      <alignment horizontal="center"/>
    </xf>
    <xf numFmtId="164" fontId="24" fillId="7" borderId="108" xfId="0" applyNumberFormat="1" applyFont="1" applyFill="1" applyBorder="1" applyAlignment="1">
      <alignment horizontal="center"/>
    </xf>
    <xf numFmtId="0" fontId="10" fillId="0" borderId="133" xfId="0" applyFont="1" applyBorder="1" applyAlignment="1">
      <alignment horizontal="center" wrapText="1"/>
    </xf>
    <xf numFmtId="0" fontId="10" fillId="0" borderId="134" xfId="0" applyFont="1" applyBorder="1" applyAlignment="1">
      <alignment horizontal="center" wrapText="1"/>
    </xf>
    <xf numFmtId="0" fontId="10" fillId="0" borderId="135" xfId="0" applyFont="1" applyBorder="1" applyAlignment="1">
      <alignment horizontal="center" wrapText="1"/>
    </xf>
    <xf numFmtId="0" fontId="10" fillId="0" borderId="136" xfId="0" applyFont="1" applyBorder="1" applyAlignment="1">
      <alignment horizontal="center" wrapText="1"/>
    </xf>
    <xf numFmtId="0" fontId="10" fillId="0" borderId="137" xfId="0" applyFont="1" applyBorder="1" applyAlignment="1">
      <alignment horizontal="center" wrapText="1"/>
    </xf>
    <xf numFmtId="0" fontId="10" fillId="0" borderId="138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0" fontId="10" fillId="0" borderId="139" xfId="0" applyFont="1" applyBorder="1" applyAlignment="1">
      <alignment horizontal="center" wrapText="1"/>
    </xf>
    <xf numFmtId="0" fontId="10" fillId="0" borderId="140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0" tint="-4.9989318521683403E-2"/>
        <name val="Cambria"/>
        <scheme val="none"/>
      </font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0" tint="-4.9989318521683403E-2"/>
        <name val="Cambria"/>
        <scheme val="none"/>
      </font>
      <fill>
        <patternFill>
          <bgColor theme="0" tint="-4.9989318521683403E-2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7" dropStyle="combo" dx="16" fmlaLink="$Q$23" fmlaRange="PEStypes" sel="1" val="0"/>
</file>

<file path=xl/ctrlProps/ctrlProp2.xml><?xml version="1.0" encoding="utf-8"?>
<formControlPr xmlns="http://schemas.microsoft.com/office/spreadsheetml/2009/9/main" objectType="Drop" dropLines="47" dropStyle="combo" dx="16" fmlaLink="$Q$26" fmlaRange="$R$5:$R$6" sel="1" val="0"/>
</file>

<file path=xl/ctrlProps/ctrlProp3.xml><?xml version="1.0" encoding="utf-8"?>
<formControlPr xmlns="http://schemas.microsoft.com/office/spreadsheetml/2009/9/main" objectType="Drop" dropLines="47" dropStyle="combo" dx="16" fmlaLink="$Q$25" fmlaRange="ExplTypes" sel="1" val="0"/>
</file>

<file path=xl/ctrlProps/ctrlProp4.xml><?xml version="1.0" encoding="utf-8"?>
<formControlPr xmlns="http://schemas.microsoft.com/office/spreadsheetml/2009/9/main" objectType="Drop" dropLines="47" dropStyle="combo" dx="16" fmlaLink="$Q$24" fmlaRange="$T$5" sel="1" val="0"/>
</file>

<file path=xl/ctrlProps/ctrlProp5.xml><?xml version="1.0" encoding="utf-8"?>
<formControlPr xmlns="http://schemas.microsoft.com/office/spreadsheetml/2009/9/main" objectType="Drop" dropLines="47" dropStyle="combo" dx="16" fmlaLink="$Q$27" fmlaRange="AtmDescrip" sel="1" val="0"/>
</file>

<file path=xl/ctrlProps/ctrlProp6.xml><?xml version="1.0" encoding="utf-8"?>
<formControlPr xmlns="http://schemas.microsoft.com/office/spreadsheetml/2009/9/main" objectType="Drop" dropLines="47" dropStyle="combo" dx="16" fmlaLink="$Q$23" fmlaRange="PEStypes" sel="1" val="0"/>
</file>

<file path=xl/ctrlProps/ctrlProp7.xml><?xml version="1.0" encoding="utf-8"?>
<formControlPr xmlns="http://schemas.microsoft.com/office/spreadsheetml/2009/9/main" objectType="Drop" dropLines="47" dropStyle="combo" dx="16" fmlaLink="$Q$26" fmlaRange="$R$5:$R$6" sel="1" val="0"/>
</file>

<file path=xl/ctrlProps/ctrlProp8.xml><?xml version="1.0" encoding="utf-8"?>
<formControlPr xmlns="http://schemas.microsoft.com/office/spreadsheetml/2009/9/main" objectType="Drop" dropLines="47" dropStyle="combo" dx="16" fmlaLink="$Q$25" fmlaRange="ExplTypes" sel="1" val="0"/>
</file>

<file path=xl/ctrlProps/ctrlProp9.xml><?xml version="1.0" encoding="utf-8"?>
<formControlPr xmlns="http://schemas.microsoft.com/office/spreadsheetml/2009/9/main" objectType="Drop" dropLines="47" dropStyle="combo" dx="16" fmlaLink="$Q$24" fmlaRange="$T$5:$T$13" sel="1" val="0"/>
</file>

<file path=xl/ctrlProps/ctrlProp10.xml><?xml version="1.0" encoding="utf-8"?>
<formControlPr xmlns="http://schemas.microsoft.com/office/spreadsheetml/2009/9/main" objectType="Drop" dropLines="47" dropStyle="combo" dx="16" fmlaLink="$Q$23" fmlaRange="PEStypes" sel="1" val="0"/>
</file>

<file path=xl/ctrlProps/ctrlProp11.xml><?xml version="1.0" encoding="utf-8"?>
<formControlPr xmlns="http://schemas.microsoft.com/office/spreadsheetml/2009/9/main" objectType="Drop" dropLines="47" dropStyle="combo" dx="16" fmlaLink="$Q$26" fmlaRange="$R$5:$R$6" sel="1" val="0"/>
</file>

<file path=xl/ctrlProps/ctrlProp12.xml><?xml version="1.0" encoding="utf-8"?>
<formControlPr xmlns="http://schemas.microsoft.com/office/spreadsheetml/2009/9/main" objectType="Drop" dropLines="47" dropStyle="combo" dx="16" fmlaLink="$Q$25" fmlaRange="ExplTypes" sel="1" val="0"/>
</file>

<file path=xl/ctrlProps/ctrlProp13.xml><?xml version="1.0" encoding="utf-8"?>
<formControlPr xmlns="http://schemas.microsoft.com/office/spreadsheetml/2009/9/main" objectType="Drop" dropLines="47" dropStyle="combo" dx="16" fmlaLink="$Q$24" fmlaRange="$T$5" sel="1" val="0"/>
</file>

<file path=xl/ctrlProps/ctrlProp14.xml><?xml version="1.0" encoding="utf-8"?>
<formControlPr xmlns="http://schemas.microsoft.com/office/spreadsheetml/2009/9/main" objectType="Drop" dropLines="47" dropStyle="combo" dx="16" fmlaLink="$Q$27" fmlaRange="'METRIC UNITS'!$Q$9:$Q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9</xdr:row>
      <xdr:rowOff>171450</xdr:rowOff>
    </xdr:from>
    <xdr:to>
      <xdr:col>6</xdr:col>
      <xdr:colOff>257175</xdr:colOff>
      <xdr:row>15</xdr:row>
      <xdr:rowOff>161925</xdr:rowOff>
    </xdr:to>
    <xdr:pic>
      <xdr:nvPicPr>
        <xdr:cNvPr id="5683" name="Picture 2" descr="ESB-DOD Mar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" y="2200275"/>
          <a:ext cx="12001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5</xdr:row>
          <xdr:rowOff>0</xdr:rowOff>
        </xdr:from>
        <xdr:to>
          <xdr:col>3</xdr:col>
          <xdr:colOff>533400</xdr:colOff>
          <xdr:row>6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7620</xdr:rowOff>
        </xdr:from>
        <xdr:to>
          <xdr:col>3</xdr:col>
          <xdr:colOff>533400</xdr:colOff>
          <xdr:row>12</xdr:row>
          <xdr:rowOff>38100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7620</xdr:rowOff>
        </xdr:from>
        <xdr:to>
          <xdr:col>3</xdr:col>
          <xdr:colOff>502920</xdr:colOff>
          <xdr:row>8</xdr:row>
          <xdr:rowOff>251460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632460</xdr:colOff>
          <xdr:row>5</xdr:row>
          <xdr:rowOff>0</xdr:rowOff>
        </xdr:from>
        <xdr:to>
          <xdr:col>11</xdr:col>
          <xdr:colOff>1295400</xdr:colOff>
          <xdr:row>6</xdr:row>
          <xdr:rowOff>38100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5</xdr:row>
          <xdr:rowOff>0</xdr:rowOff>
        </xdr:from>
        <xdr:to>
          <xdr:col>3</xdr:col>
          <xdr:colOff>502920</xdr:colOff>
          <xdr:row>6</xdr:row>
          <xdr:rowOff>0</xdr:rowOff>
        </xdr:to>
        <xdr:sp macro="" textlink="">
          <xdr:nvSpPr>
            <xdr:cNvPr id="8209" name="Drop Down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5</xdr:row>
          <xdr:rowOff>0</xdr:rowOff>
        </xdr:from>
        <xdr:to>
          <xdr:col>5</xdr:col>
          <xdr:colOff>998220</xdr:colOff>
          <xdr:row>6</xdr:row>
          <xdr:rowOff>0</xdr:rowOff>
        </xdr:to>
        <xdr:sp macro="" textlink="">
          <xdr:nvSpPr>
            <xdr:cNvPr id="8210" name="Drop Down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7620</xdr:rowOff>
        </xdr:from>
        <xdr:to>
          <xdr:col>3</xdr:col>
          <xdr:colOff>502920</xdr:colOff>
          <xdr:row>12</xdr:row>
          <xdr:rowOff>38100</xdr:rowOff>
        </xdr:to>
        <xdr:sp macro="" textlink="">
          <xdr:nvSpPr>
            <xdr:cNvPr id="8211" name="Drop Down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7620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8212" name="Drop Down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5</xdr:row>
          <xdr:rowOff>0</xdr:rowOff>
        </xdr:from>
        <xdr:to>
          <xdr:col>3</xdr:col>
          <xdr:colOff>502920</xdr:colOff>
          <xdr:row>6</xdr:row>
          <xdr:rowOff>0</xdr:rowOff>
        </xdr:to>
        <xdr:sp macro="" textlink="">
          <xdr:nvSpPr>
            <xdr:cNvPr id="8214" name="Drop Down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5</xdr:row>
          <xdr:rowOff>0</xdr:rowOff>
        </xdr:from>
        <xdr:to>
          <xdr:col>5</xdr:col>
          <xdr:colOff>998220</xdr:colOff>
          <xdr:row>6</xdr:row>
          <xdr:rowOff>0</xdr:rowOff>
        </xdr:to>
        <xdr:sp macro="" textlink="">
          <xdr:nvSpPr>
            <xdr:cNvPr id="8215" name="Drop Down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7620</xdr:rowOff>
        </xdr:from>
        <xdr:to>
          <xdr:col>3</xdr:col>
          <xdr:colOff>502920</xdr:colOff>
          <xdr:row>12</xdr:row>
          <xdr:rowOff>38100</xdr:rowOff>
        </xdr:to>
        <xdr:sp macro="" textlink="">
          <xdr:nvSpPr>
            <xdr:cNvPr id="8216" name="Drop Down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0</xdr:rowOff>
        </xdr:from>
        <xdr:to>
          <xdr:col>3</xdr:col>
          <xdr:colOff>495300</xdr:colOff>
          <xdr:row>8</xdr:row>
          <xdr:rowOff>236220</xdr:rowOff>
        </xdr:to>
        <xdr:sp macro="" textlink="">
          <xdr:nvSpPr>
            <xdr:cNvPr id="8217" name="Drop Down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5</xdr:row>
          <xdr:rowOff>0</xdr:rowOff>
        </xdr:from>
        <xdr:to>
          <xdr:col>11</xdr:col>
          <xdr:colOff>1264920</xdr:colOff>
          <xdr:row>6</xdr:row>
          <xdr:rowOff>22860</xdr:rowOff>
        </xdr:to>
        <xdr:sp macro="" textlink="">
          <xdr:nvSpPr>
            <xdr:cNvPr id="8218" name="Drop Down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san.D.Hamilton@usace.army.mil?subject=BEC%20V7.0%20Technical%20Information" TargetMode="External"/><Relationship Id="rId1" Type="http://schemas.openxmlformats.org/officeDocument/2006/relationships/hyperlink" Target="mailto:Lea.Cotton@DDESB.OSD.M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K38"/>
  <sheetViews>
    <sheetView workbookViewId="0">
      <selection activeCell="C31" sqref="C31"/>
    </sheetView>
  </sheetViews>
  <sheetFormatPr defaultRowHeight="14.4" x14ac:dyDescent="0.3"/>
  <cols>
    <col min="1" max="2" width="2.109375" style="7" customWidth="1"/>
    <col min="3" max="9" width="8.88671875" style="7" customWidth="1"/>
    <col min="10" max="11" width="2.109375" style="7" customWidth="1"/>
    <col min="12" max="28" width="0" style="7" hidden="1" customWidth="1"/>
    <col min="29" max="43" width="0" hidden="1" customWidth="1"/>
    <col min="44" max="58" width="6.6640625" style="7" customWidth="1"/>
    <col min="59" max="89" width="9" style="52"/>
  </cols>
  <sheetData>
    <row r="1" spans="2:10" ht="6.6" customHeight="1" thickBot="1" x14ac:dyDescent="0.35"/>
    <row r="2" spans="2:10" ht="15" thickTop="1" x14ac:dyDescent="0.3">
      <c r="B2" s="19"/>
      <c r="C2" s="20"/>
      <c r="D2" s="20"/>
      <c r="E2" s="20"/>
      <c r="F2" s="20"/>
      <c r="G2" s="20"/>
      <c r="H2" s="20"/>
      <c r="I2" s="20"/>
      <c r="J2" s="21"/>
    </row>
    <row r="3" spans="2:10" x14ac:dyDescent="0.3">
      <c r="B3" s="22"/>
      <c r="C3" s="23"/>
      <c r="D3" s="23"/>
      <c r="E3" s="23"/>
      <c r="F3" s="471" t="s">
        <v>622</v>
      </c>
      <c r="G3" s="23"/>
      <c r="H3" s="23"/>
      <c r="I3" s="23"/>
      <c r="J3" s="24"/>
    </row>
    <row r="4" spans="2:10" x14ac:dyDescent="0.3">
      <c r="B4" s="22"/>
      <c r="C4" s="23"/>
      <c r="D4" s="23"/>
      <c r="E4" s="23"/>
      <c r="F4" s="23"/>
      <c r="G4" s="23"/>
      <c r="H4" s="23"/>
      <c r="I4" s="23"/>
      <c r="J4" s="24"/>
    </row>
    <row r="5" spans="2:10" ht="24.9" customHeight="1" x14ac:dyDescent="0.5">
      <c r="B5" s="22"/>
      <c r="D5" s="10"/>
      <c r="E5" s="10"/>
      <c r="F5" s="480" t="s">
        <v>43</v>
      </c>
      <c r="G5" s="10"/>
      <c r="H5" s="10"/>
      <c r="I5" s="10"/>
      <c r="J5" s="11"/>
    </row>
    <row r="6" spans="2:10" ht="24.9" customHeight="1" x14ac:dyDescent="0.5">
      <c r="B6" s="22"/>
      <c r="D6" s="25"/>
      <c r="E6" s="25"/>
      <c r="F6" s="480" t="s">
        <v>625</v>
      </c>
      <c r="G6" s="25"/>
      <c r="H6" s="25"/>
      <c r="I6" s="25"/>
      <c r="J6" s="26"/>
    </row>
    <row r="7" spans="2:10" ht="24.9" customHeight="1" x14ac:dyDescent="0.5">
      <c r="B7" s="22"/>
      <c r="D7" s="12"/>
      <c r="E7" s="12"/>
      <c r="F7" s="481" t="s">
        <v>627</v>
      </c>
      <c r="G7" s="12"/>
      <c r="H7" s="12"/>
      <c r="I7" s="12"/>
      <c r="J7" s="13"/>
    </row>
    <row r="8" spans="2:10" ht="15.6" x14ac:dyDescent="0.3">
      <c r="B8" s="22"/>
      <c r="C8" s="23"/>
      <c r="D8" s="23"/>
      <c r="E8" s="23"/>
      <c r="F8" s="6" t="s">
        <v>101</v>
      </c>
      <c r="G8" s="23"/>
      <c r="H8" s="23"/>
      <c r="I8" s="23"/>
      <c r="J8" s="24"/>
    </row>
    <row r="9" spans="2:10" ht="15.6" x14ac:dyDescent="0.3">
      <c r="B9" s="22"/>
      <c r="C9" s="23"/>
      <c r="D9" s="23"/>
      <c r="E9" s="23"/>
      <c r="F9" s="6" t="s">
        <v>626</v>
      </c>
      <c r="G9" s="23"/>
      <c r="H9" s="23"/>
      <c r="I9" s="23"/>
      <c r="J9" s="24"/>
    </row>
    <row r="10" spans="2:10" x14ac:dyDescent="0.3">
      <c r="B10" s="22"/>
      <c r="C10" s="23"/>
      <c r="D10" s="23"/>
      <c r="E10" s="23"/>
      <c r="F10" s="23"/>
      <c r="G10" s="23"/>
      <c r="H10" s="23"/>
      <c r="I10" s="23"/>
      <c r="J10" s="24"/>
    </row>
    <row r="11" spans="2:10" x14ac:dyDescent="0.3">
      <c r="B11" s="22"/>
      <c r="C11" s="23"/>
      <c r="D11" s="23"/>
      <c r="E11" s="23"/>
      <c r="F11" s="23"/>
      <c r="G11" s="23"/>
      <c r="H11" s="23"/>
      <c r="I11" s="23"/>
      <c r="J11" s="24"/>
    </row>
    <row r="12" spans="2:10" x14ac:dyDescent="0.3">
      <c r="B12" s="22"/>
      <c r="C12" s="23"/>
      <c r="D12" s="23"/>
      <c r="E12" s="23"/>
      <c r="F12" s="23"/>
      <c r="G12" s="23"/>
      <c r="H12" s="23"/>
      <c r="I12" s="23"/>
      <c r="J12" s="24"/>
    </row>
    <row r="13" spans="2:10" x14ac:dyDescent="0.3">
      <c r="B13" s="22"/>
      <c r="C13" s="23"/>
      <c r="D13" s="23"/>
      <c r="E13" s="23"/>
      <c r="F13" s="23"/>
      <c r="G13" s="23"/>
      <c r="H13" s="23"/>
      <c r="I13" s="23"/>
      <c r="J13" s="24"/>
    </row>
    <row r="14" spans="2:10" x14ac:dyDescent="0.3">
      <c r="B14" s="22"/>
      <c r="C14" s="23"/>
      <c r="D14" s="23"/>
      <c r="E14" s="23"/>
      <c r="F14" s="23"/>
      <c r="G14" s="23"/>
      <c r="H14" s="23"/>
      <c r="I14" s="23"/>
      <c r="J14" s="24"/>
    </row>
    <row r="15" spans="2:10" x14ac:dyDescent="0.3">
      <c r="B15" s="22"/>
      <c r="C15" s="23"/>
      <c r="D15" s="23"/>
      <c r="E15" s="23"/>
      <c r="F15" s="23"/>
      <c r="G15" s="23"/>
      <c r="H15" s="23"/>
      <c r="I15" s="23"/>
      <c r="J15" s="24"/>
    </row>
    <row r="16" spans="2:10" ht="17.399999999999999" x14ac:dyDescent="0.3">
      <c r="B16" s="22"/>
      <c r="C16" s="23"/>
      <c r="D16" s="23"/>
      <c r="E16" s="23"/>
      <c r="G16" s="9"/>
      <c r="H16" s="9"/>
      <c r="I16" s="9"/>
      <c r="J16" s="24"/>
    </row>
    <row r="17" spans="2:13" ht="17.399999999999999" x14ac:dyDescent="0.3">
      <c r="B17" s="22"/>
      <c r="C17" s="23"/>
      <c r="D17" s="23"/>
      <c r="E17" s="23"/>
      <c r="F17" s="9" t="s">
        <v>96</v>
      </c>
      <c r="G17" s="14"/>
      <c r="H17" s="14"/>
      <c r="I17" s="14"/>
      <c r="J17" s="24"/>
    </row>
    <row r="18" spans="2:13" ht="15.6" x14ac:dyDescent="0.3">
      <c r="B18" s="22"/>
      <c r="C18" s="23"/>
      <c r="D18" s="23"/>
      <c r="E18" s="23"/>
      <c r="F18" s="14" t="s">
        <v>547</v>
      </c>
      <c r="G18" s="14"/>
      <c r="H18" s="14"/>
      <c r="I18" s="14"/>
      <c r="J18" s="24"/>
    </row>
    <row r="19" spans="2:13" ht="15.6" x14ac:dyDescent="0.3">
      <c r="B19" s="22"/>
      <c r="C19" s="23"/>
      <c r="D19" s="23"/>
      <c r="E19" s="23"/>
      <c r="F19" s="14" t="s">
        <v>548</v>
      </c>
      <c r="G19" s="14"/>
      <c r="H19" s="14"/>
      <c r="I19" s="14"/>
      <c r="J19" s="24"/>
    </row>
    <row r="20" spans="2:13" x14ac:dyDescent="0.3">
      <c r="B20" s="22"/>
      <c r="C20" s="23"/>
      <c r="D20" s="23"/>
      <c r="E20" s="23"/>
      <c r="F20" s="28" t="s">
        <v>549</v>
      </c>
      <c r="G20" s="23"/>
      <c r="H20" s="23"/>
      <c r="I20" s="23"/>
      <c r="J20" s="24"/>
    </row>
    <row r="21" spans="2:13" x14ac:dyDescent="0.3">
      <c r="B21" s="22"/>
      <c r="C21" s="23"/>
      <c r="D21" s="23"/>
      <c r="E21" s="23"/>
      <c r="G21" s="23"/>
      <c r="H21" s="23"/>
      <c r="I21" s="23"/>
      <c r="J21" s="24"/>
    </row>
    <row r="22" spans="2:13" ht="17.399999999999999" x14ac:dyDescent="0.3">
      <c r="B22" s="22"/>
      <c r="C22" s="30"/>
      <c r="D22" s="30"/>
      <c r="E22" s="30"/>
      <c r="F22" s="16" t="s">
        <v>97</v>
      </c>
      <c r="G22" s="16"/>
      <c r="H22" s="16"/>
      <c r="I22" s="16"/>
      <c r="J22" s="17"/>
      <c r="K22" s="16"/>
      <c r="L22" s="16"/>
      <c r="M22" s="17"/>
    </row>
    <row r="23" spans="2:13" ht="15.6" x14ac:dyDescent="0.3">
      <c r="B23" s="22"/>
      <c r="C23" s="3"/>
      <c r="D23" s="3"/>
      <c r="E23" s="3"/>
      <c r="F23" s="2" t="s">
        <v>601</v>
      </c>
      <c r="G23" s="14"/>
      <c r="H23" s="14"/>
      <c r="J23" s="18"/>
      <c r="K23" s="2"/>
      <c r="L23" s="2"/>
      <c r="M23" s="18"/>
    </row>
    <row r="24" spans="2:13" ht="15.6" x14ac:dyDescent="0.3">
      <c r="B24" s="22"/>
      <c r="C24" s="3"/>
      <c r="D24" s="3"/>
      <c r="E24" s="3"/>
      <c r="F24" s="28" t="s">
        <v>600</v>
      </c>
      <c r="G24" s="14"/>
      <c r="H24" s="14"/>
      <c r="J24" s="15"/>
      <c r="K24" s="14"/>
      <c r="L24" s="14"/>
      <c r="M24" s="15"/>
    </row>
    <row r="25" spans="2:13" ht="15.6" x14ac:dyDescent="0.3">
      <c r="B25" s="22"/>
      <c r="C25" s="31"/>
      <c r="D25" s="3"/>
      <c r="E25" s="3"/>
      <c r="F25" s="14" t="s">
        <v>602</v>
      </c>
      <c r="G25" s="14"/>
      <c r="H25" s="14"/>
      <c r="J25" s="15"/>
      <c r="K25" s="14"/>
      <c r="L25" s="14"/>
      <c r="M25" s="15"/>
    </row>
    <row r="26" spans="2:13" ht="15.6" x14ac:dyDescent="0.3">
      <c r="B26" s="22"/>
      <c r="C26" s="1"/>
      <c r="D26" s="1"/>
      <c r="E26" s="1"/>
      <c r="F26" s="14" t="s">
        <v>603</v>
      </c>
      <c r="G26" s="1"/>
      <c r="H26" s="1"/>
      <c r="I26" s="1"/>
      <c r="J26" s="8"/>
    </row>
    <row r="27" spans="2:13" x14ac:dyDescent="0.3">
      <c r="B27" s="22"/>
      <c r="J27" s="27"/>
    </row>
    <row r="28" spans="2:13" ht="15.6" x14ac:dyDescent="0.3">
      <c r="B28" s="22"/>
      <c r="C28" s="476"/>
      <c r="D28" s="477"/>
      <c r="E28" s="477"/>
      <c r="F28" s="478" t="s">
        <v>624</v>
      </c>
      <c r="G28" s="477"/>
      <c r="H28" s="477"/>
      <c r="I28" s="479"/>
      <c r="J28" s="24"/>
      <c r="K28" s="2"/>
      <c r="L28" s="2"/>
      <c r="M28" s="18"/>
    </row>
    <row r="29" spans="2:13" ht="15.6" x14ac:dyDescent="0.3">
      <c r="B29" s="22"/>
      <c r="C29" s="28"/>
      <c r="D29" s="14"/>
      <c r="E29" s="14"/>
      <c r="F29" s="28"/>
      <c r="G29" s="3"/>
      <c r="H29" s="3"/>
      <c r="I29" s="3"/>
      <c r="J29" s="4"/>
      <c r="K29" s="3"/>
      <c r="L29" s="3"/>
      <c r="M29" s="4"/>
    </row>
    <row r="30" spans="2:13" ht="16.2" thickBot="1" x14ac:dyDescent="0.35">
      <c r="B30" s="29"/>
      <c r="C30" s="492" t="s">
        <v>634</v>
      </c>
      <c r="D30" s="492"/>
      <c r="E30" s="492"/>
      <c r="F30" s="492"/>
      <c r="G30" s="492"/>
      <c r="H30" s="492"/>
      <c r="I30" s="492"/>
      <c r="J30" s="493"/>
    </row>
    <row r="31" spans="2:13" ht="15" thickTop="1" x14ac:dyDescent="0.3"/>
    <row r="37" spans="59:89" s="7" customFormat="1" x14ac:dyDescent="0.3"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</row>
    <row r="38" spans="59:89" s="7" customFormat="1" x14ac:dyDescent="0.3"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</row>
  </sheetData>
  <sheetProtection password="E5C3" sheet="1" objects="1" scenarios="1" selectLockedCells="1" selectUnlockedCells="1"/>
  <mergeCells count="1">
    <mergeCell ref="C30:J30"/>
  </mergeCells>
  <phoneticPr fontId="0" type="noConversion"/>
  <hyperlinks>
    <hyperlink ref="F24" r:id="rId1" display="Lea.Cotton@DDESB.OSD.Mil"/>
    <hyperlink ref="F20" r:id="rId2"/>
  </hyperlinks>
  <printOptions horizontalCentered="1"/>
  <pageMargins left="0.75" right="0.75" top="1" bottom="1.07" header="0.5" footer="0.5"/>
  <pageSetup orientation="portrait" horizontalDpi="4294967292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/>
  </sheetPr>
  <dimension ref="A1:BP272"/>
  <sheetViews>
    <sheetView zoomScaleNormal="100" zoomScaleSheetLayoutView="55" zoomScalePageLayoutView="55" workbookViewId="0">
      <selection activeCell="AS5" sqref="AS5"/>
    </sheetView>
  </sheetViews>
  <sheetFormatPr defaultColWidth="10.88671875" defaultRowHeight="15.6" x14ac:dyDescent="0.3"/>
  <cols>
    <col min="1" max="2" width="1.77734375" style="53" customWidth="1"/>
    <col min="3" max="3" width="22.109375" style="53" customWidth="1"/>
    <col min="4" max="4" width="14.44140625" style="53" customWidth="1"/>
    <col min="5" max="6" width="13.109375" style="53" customWidth="1"/>
    <col min="7" max="7" width="6.88671875" style="53" customWidth="1"/>
    <col min="8" max="8" width="2.21875" style="53" customWidth="1"/>
    <col min="9" max="9" width="22.6640625" style="53" customWidth="1"/>
    <col min="10" max="11" width="9.109375" style="53" customWidth="1"/>
    <col min="12" max="12" width="17.33203125" style="53" customWidth="1"/>
    <col min="13" max="13" width="1.77734375" style="53" customWidth="1"/>
    <col min="14" max="14" width="1.6640625" style="53" customWidth="1"/>
    <col min="15" max="15" width="17.6640625" style="54" hidden="1" customWidth="1"/>
    <col min="16" max="16" width="42.6640625" style="54" hidden="1" customWidth="1"/>
    <col min="17" max="17" width="20" style="54" hidden="1" customWidth="1"/>
    <col min="18" max="18" width="23.33203125" style="54" hidden="1" customWidth="1"/>
    <col min="19" max="19" width="5.6640625" style="54" hidden="1" customWidth="1"/>
    <col min="20" max="20" width="44" style="54" hidden="1" customWidth="1"/>
    <col min="21" max="21" width="15.21875" style="54" hidden="1" customWidth="1"/>
    <col min="22" max="22" width="18.109375" style="54" hidden="1" customWidth="1"/>
    <col min="23" max="23" width="10.6640625" style="54" hidden="1" customWidth="1"/>
    <col min="24" max="24" width="13.33203125" style="54" hidden="1" customWidth="1"/>
    <col min="25" max="25" width="19.6640625" style="54" hidden="1" customWidth="1"/>
    <col min="26" max="26" width="14.109375" style="54" hidden="1" customWidth="1"/>
    <col min="27" max="27" width="10.21875" style="54" hidden="1" customWidth="1"/>
    <col min="28" max="37" width="8.77734375" style="54" hidden="1" customWidth="1"/>
    <col min="38" max="39" width="9.109375" style="54" hidden="1" customWidth="1"/>
    <col min="40" max="40" width="14.33203125" style="54" hidden="1" customWidth="1"/>
    <col min="41" max="41" width="15.109375" style="54" hidden="1" customWidth="1"/>
    <col min="42" max="42" width="17.109375" style="54" hidden="1" customWidth="1"/>
    <col min="43" max="43" width="4.109375" style="54" customWidth="1"/>
    <col min="44" max="44" width="8.21875" style="53" customWidth="1"/>
    <col min="45" max="45" width="15.88671875" style="53" customWidth="1"/>
    <col min="46" max="46" width="15.109375" style="369" hidden="1" customWidth="1"/>
    <col min="47" max="47" width="10.88671875" style="53" customWidth="1"/>
    <col min="48" max="48" width="12.88671875" style="53" customWidth="1"/>
    <col min="49" max="49" width="12.109375" style="53" customWidth="1"/>
    <col min="50" max="50" width="14.44140625" style="53" customWidth="1"/>
    <col min="51" max="51" width="13.109375" style="53" customWidth="1"/>
    <col min="52" max="58" width="14.44140625" style="53" customWidth="1"/>
    <col min="59" max="59" width="15" style="53" customWidth="1"/>
    <col min="60" max="60" width="12.33203125" style="53" customWidth="1"/>
    <col min="61" max="61" width="11.88671875" style="53" customWidth="1"/>
    <col min="62" max="64" width="13.21875" style="53" customWidth="1"/>
    <col min="65" max="66" width="13.6640625" style="53" customWidth="1"/>
    <col min="67" max="67" width="13.6640625" style="55" customWidth="1"/>
    <col min="68" max="68" width="13.6640625" style="56" customWidth="1"/>
    <col min="69" max="16384" width="10.88671875" style="53"/>
  </cols>
  <sheetData>
    <row r="1" spans="2:68" ht="15" customHeight="1" thickBot="1" x14ac:dyDescent="0.35">
      <c r="C1" s="472" t="s">
        <v>622</v>
      </c>
    </row>
    <row r="2" spans="2:68" ht="31.2" thickTop="1" thickBot="1" x14ac:dyDescent="0.55000000000000004">
      <c r="B2" s="58"/>
      <c r="C2" s="605" t="s">
        <v>2</v>
      </c>
      <c r="D2" s="605"/>
      <c r="E2" s="606"/>
      <c r="F2" s="606"/>
      <c r="G2" s="606"/>
      <c r="H2" s="606"/>
      <c r="I2" s="606"/>
      <c r="J2" s="606"/>
      <c r="K2" s="606"/>
      <c r="L2" s="606"/>
      <c r="M2" s="59"/>
      <c r="N2" s="60"/>
      <c r="Y2" s="61" t="s">
        <v>292</v>
      </c>
      <c r="AF2" s="191"/>
      <c r="BH2" s="57"/>
      <c r="BO2" s="53"/>
    </row>
    <row r="3" spans="2:68" ht="19.5" customHeight="1" x14ac:dyDescent="0.3">
      <c r="B3" s="62"/>
      <c r="C3" s="611" t="s">
        <v>77</v>
      </c>
      <c r="D3" s="611"/>
      <c r="E3" s="611"/>
      <c r="F3" s="611"/>
      <c r="G3" s="611"/>
      <c r="H3" s="611"/>
      <c r="I3" s="611"/>
      <c r="J3" s="611"/>
      <c r="K3" s="611"/>
      <c r="L3" s="611"/>
      <c r="M3" s="63"/>
      <c r="N3" s="64"/>
      <c r="O3" s="65" t="s">
        <v>248</v>
      </c>
      <c r="W3" s="66" t="s">
        <v>235</v>
      </c>
      <c r="X3" s="67">
        <f>Q49</f>
        <v>4.6415888336127775</v>
      </c>
      <c r="Y3" s="612" t="s">
        <v>227</v>
      </c>
      <c r="Z3" s="614" t="s">
        <v>228</v>
      </c>
      <c r="AA3" s="632" t="s">
        <v>617</v>
      </c>
      <c r="AB3" s="587" t="s">
        <v>148</v>
      </c>
      <c r="AC3" s="588"/>
      <c r="AD3" s="588"/>
      <c r="AE3" s="588"/>
      <c r="AF3" s="588"/>
      <c r="AG3" s="588"/>
      <c r="AH3" s="589"/>
      <c r="AI3" s="631" t="s">
        <v>266</v>
      </c>
      <c r="AJ3" s="551" t="s">
        <v>267</v>
      </c>
      <c r="AK3" s="552"/>
      <c r="AL3" s="551" t="s">
        <v>265</v>
      </c>
      <c r="AM3" s="589"/>
      <c r="AN3" s="616" t="s">
        <v>229</v>
      </c>
      <c r="AO3" s="618" t="s">
        <v>149</v>
      </c>
      <c r="BO3" s="53"/>
    </row>
    <row r="4" spans="2:68" ht="23.4" thickBot="1" x14ac:dyDescent="0.45">
      <c r="B4" s="62"/>
      <c r="C4" s="68" t="s">
        <v>51</v>
      </c>
      <c r="D4" s="68"/>
      <c r="E4" s="600" t="s">
        <v>222</v>
      </c>
      <c r="F4" s="600"/>
      <c r="G4" s="69"/>
      <c r="H4" s="69"/>
      <c r="I4" s="70" t="s">
        <v>236</v>
      </c>
      <c r="J4" s="69"/>
      <c r="K4" s="600" t="s">
        <v>33</v>
      </c>
      <c r="L4" s="600"/>
      <c r="M4" s="71"/>
      <c r="N4" s="72"/>
      <c r="O4" s="73" t="s">
        <v>118</v>
      </c>
      <c r="P4" s="74" t="s">
        <v>108</v>
      </c>
      <c r="Q4" s="74" t="s">
        <v>113</v>
      </c>
      <c r="R4" s="368" t="s">
        <v>286</v>
      </c>
      <c r="S4" s="75"/>
      <c r="T4" s="75" t="s">
        <v>224</v>
      </c>
      <c r="U4" s="76" t="s">
        <v>118</v>
      </c>
      <c r="W4" s="66" t="s">
        <v>230</v>
      </c>
      <c r="X4" s="77">
        <f>Q48</f>
        <v>10000</v>
      </c>
      <c r="Y4" s="613"/>
      <c r="Z4" s="615"/>
      <c r="AA4" s="633"/>
      <c r="AB4" s="78" t="s">
        <v>87</v>
      </c>
      <c r="AC4" s="79" t="s">
        <v>88</v>
      </c>
      <c r="AD4" s="79" t="s">
        <v>89</v>
      </c>
      <c r="AE4" s="79" t="s">
        <v>37</v>
      </c>
      <c r="AF4" s="79" t="s">
        <v>90</v>
      </c>
      <c r="AG4" s="79" t="s">
        <v>91</v>
      </c>
      <c r="AH4" s="80" t="s">
        <v>92</v>
      </c>
      <c r="AI4" s="550"/>
      <c r="AJ4" s="81" t="s">
        <v>261</v>
      </c>
      <c r="AK4" s="81" t="s">
        <v>262</v>
      </c>
      <c r="AL4" s="81" t="s">
        <v>263</v>
      </c>
      <c r="AM4" s="82" t="s">
        <v>264</v>
      </c>
      <c r="AN4" s="617"/>
      <c r="AO4" s="619"/>
      <c r="AQ4" s="420"/>
      <c r="AT4" s="523" t="s">
        <v>81</v>
      </c>
      <c r="AU4" s="523"/>
      <c r="AV4" s="523"/>
      <c r="AW4" s="523"/>
      <c r="AX4" s="523"/>
      <c r="AY4" s="523"/>
      <c r="AZ4" s="523"/>
      <c r="BA4" s="523"/>
      <c r="BB4" s="523"/>
      <c r="BC4" s="523"/>
      <c r="BF4" s="523" t="s">
        <v>84</v>
      </c>
      <c r="BG4" s="523"/>
      <c r="BH4" s="523"/>
      <c r="BI4" s="523"/>
      <c r="BJ4" s="523"/>
      <c r="BK4" s="523"/>
      <c r="BL4" s="523"/>
      <c r="BM4" s="523"/>
      <c r="BN4" s="523"/>
      <c r="BO4" s="53"/>
    </row>
    <row r="5" spans="2:68" ht="16.2" thickBot="1" x14ac:dyDescent="0.35">
      <c r="B5" s="62"/>
      <c r="C5" s="61" t="s">
        <v>50</v>
      </c>
      <c r="D5" s="61"/>
      <c r="E5" s="629" t="s">
        <v>223</v>
      </c>
      <c r="F5" s="629"/>
      <c r="I5" s="83" t="s">
        <v>30</v>
      </c>
      <c r="K5" s="495" t="s">
        <v>577</v>
      </c>
      <c r="L5" s="495"/>
      <c r="M5" s="71"/>
      <c r="N5" s="72"/>
      <c r="O5" s="84">
        <v>1</v>
      </c>
      <c r="P5" s="53" t="s">
        <v>56</v>
      </c>
      <c r="Q5" s="77" t="s">
        <v>48</v>
      </c>
      <c r="R5" s="77" t="str">
        <f>Q5</f>
        <v>Total NEW (lbs)</v>
      </c>
      <c r="S5" s="53"/>
      <c r="T5" s="53" t="s">
        <v>57</v>
      </c>
      <c r="U5" s="85">
        <v>1</v>
      </c>
      <c r="W5" s="66" t="s">
        <v>153</v>
      </c>
      <c r="X5" s="86">
        <f>Q47</f>
        <v>10000</v>
      </c>
      <c r="Y5" s="587" t="s">
        <v>144</v>
      </c>
      <c r="Z5" s="588"/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8"/>
      <c r="AL5" s="588"/>
      <c r="AM5" s="588"/>
      <c r="AN5" s="588"/>
      <c r="AO5" s="589"/>
      <c r="AQ5" s="420"/>
      <c r="AS5" s="491"/>
      <c r="BO5" s="53"/>
    </row>
    <row r="6" spans="2:68" s="90" customFormat="1" ht="18.600000000000001" thickBot="1" x14ac:dyDescent="0.4">
      <c r="B6" s="87"/>
      <c r="C6" s="88"/>
      <c r="D6" s="88"/>
      <c r="E6" s="88"/>
      <c r="F6" s="88"/>
      <c r="G6" s="88"/>
      <c r="H6" s="88"/>
      <c r="I6" s="50">
        <v>100</v>
      </c>
      <c r="J6" s="88"/>
      <c r="K6" s="88"/>
      <c r="L6" s="88"/>
      <c r="M6" s="89"/>
      <c r="N6" s="88"/>
      <c r="O6" s="84">
        <v>2</v>
      </c>
      <c r="P6" s="53" t="s">
        <v>72</v>
      </c>
      <c r="Q6" s="77" t="s">
        <v>231</v>
      </c>
      <c r="R6" s="77" t="str">
        <f>IF(Q24=1,"",Q6)</f>
        <v/>
      </c>
      <c r="S6" s="53"/>
      <c r="T6" s="53"/>
      <c r="U6" s="85">
        <v>2</v>
      </c>
      <c r="Y6" s="91" t="s">
        <v>58</v>
      </c>
      <c r="Z6" s="92">
        <v>1</v>
      </c>
      <c r="AA6" s="93">
        <v>1</v>
      </c>
      <c r="AB6" s="94">
        <v>0</v>
      </c>
      <c r="AC6" s="95">
        <v>0</v>
      </c>
      <c r="AD6" s="95">
        <v>0</v>
      </c>
      <c r="AE6" s="95">
        <v>0</v>
      </c>
      <c r="AF6" s="95">
        <v>0</v>
      </c>
      <c r="AG6" s="95">
        <v>0</v>
      </c>
      <c r="AH6" s="96">
        <v>0</v>
      </c>
      <c r="AI6" s="97">
        <f t="shared" ref="AI6" si="0">EXP(AB6+AC6*LN($X$3)+AD6*(LN($X$3))^2+AE6*(LN($X$3))^3+AF6*(LN($X$3))^4+AG6*(LN($X$3))^5+AH6*(LN($X$3))^6)</f>
        <v>1</v>
      </c>
      <c r="AJ6" s="92"/>
      <c r="AK6" s="92"/>
      <c r="AL6" s="92"/>
      <c r="AM6" s="93"/>
      <c r="AN6" s="98">
        <f>X5*Z6</f>
        <v>10000</v>
      </c>
      <c r="AO6" s="438">
        <f t="shared" ref="AO6" si="1">AN6*$Q$38/Z6</f>
        <v>10000</v>
      </c>
      <c r="AP6" s="54" t="s">
        <v>258</v>
      </c>
      <c r="AQ6" s="402"/>
      <c r="AW6" s="538" t="s">
        <v>80</v>
      </c>
      <c r="AX6" s="539"/>
      <c r="AY6" s="535" t="str">
        <f>T23</f>
        <v>Open Storage/STANDARD</v>
      </c>
      <c r="AZ6" s="536"/>
      <c r="BA6" s="537"/>
      <c r="BD6" s="53"/>
      <c r="BE6" s="53"/>
      <c r="BH6" s="538" t="s">
        <v>80</v>
      </c>
      <c r="BI6" s="539"/>
      <c r="BJ6" s="535" t="str">
        <f>AY6</f>
        <v>Open Storage/STANDARD</v>
      </c>
      <c r="BK6" s="536"/>
      <c r="BL6" s="537"/>
      <c r="BO6" s="53"/>
      <c r="BP6" s="100"/>
    </row>
    <row r="7" spans="2:68" ht="16.5" customHeight="1" thickBot="1" x14ac:dyDescent="0.4">
      <c r="B7" s="62"/>
      <c r="C7" s="61" t="s">
        <v>31</v>
      </c>
      <c r="D7" s="61"/>
      <c r="E7" s="495" t="s">
        <v>36</v>
      </c>
      <c r="F7" s="495"/>
      <c r="G7" s="88"/>
      <c r="H7" s="88"/>
      <c r="J7" s="88"/>
      <c r="K7" s="88"/>
      <c r="M7" s="71"/>
      <c r="N7" s="72"/>
      <c r="O7" s="84">
        <v>3</v>
      </c>
      <c r="P7" s="53" t="s">
        <v>73</v>
      </c>
      <c r="S7" s="53"/>
      <c r="T7" s="53"/>
      <c r="U7" s="85">
        <v>3</v>
      </c>
      <c r="Y7" s="91"/>
      <c r="Z7" s="92"/>
      <c r="AA7" s="93"/>
      <c r="AB7" s="102"/>
      <c r="AC7" s="103"/>
      <c r="AD7" s="103"/>
      <c r="AE7" s="103"/>
      <c r="AF7" s="103"/>
      <c r="AG7" s="103"/>
      <c r="AH7" s="104"/>
      <c r="AI7" s="424"/>
      <c r="AJ7" s="92"/>
      <c r="AK7" s="92"/>
      <c r="AL7" s="92"/>
      <c r="AM7" s="93"/>
      <c r="AN7" s="98"/>
      <c r="AO7" s="438"/>
      <c r="AP7" s="54" t="s">
        <v>272</v>
      </c>
      <c r="AQ7" s="419"/>
      <c r="AW7" s="530" t="s">
        <v>226</v>
      </c>
      <c r="AX7" s="532"/>
      <c r="AY7" s="535" t="str">
        <f>T24</f>
        <v>Bulk/Light Cased:  STANDARD</v>
      </c>
      <c r="AZ7" s="536"/>
      <c r="BA7" s="537"/>
      <c r="BH7" s="530" t="s">
        <v>226</v>
      </c>
      <c r="BI7" s="532"/>
      <c r="BJ7" s="535" t="str">
        <f>AY7</f>
        <v>Bulk/Light Cased:  STANDARD</v>
      </c>
      <c r="BK7" s="536"/>
      <c r="BL7" s="537"/>
      <c r="BO7" s="53"/>
    </row>
    <row r="8" spans="2:68" ht="16.8" thickBot="1" x14ac:dyDescent="0.4">
      <c r="B8" s="62"/>
      <c r="C8" s="61" t="s">
        <v>221</v>
      </c>
      <c r="D8" s="61"/>
      <c r="E8" s="630" t="str">
        <f>IF(OR(T26="Total NEW (lbs)",T26=""), "Total NEW (lbs)","Number of Munitions")</f>
        <v>Total NEW (lbs)</v>
      </c>
      <c r="F8" s="630"/>
      <c r="G8" s="88"/>
      <c r="H8" s="88"/>
      <c r="I8" s="423" t="s">
        <v>553</v>
      </c>
      <c r="K8" s="495" t="s">
        <v>578</v>
      </c>
      <c r="L8" s="495"/>
      <c r="M8" s="71"/>
      <c r="N8" s="72"/>
      <c r="O8" s="84">
        <v>4</v>
      </c>
      <c r="P8" s="53" t="s">
        <v>39</v>
      </c>
      <c r="Q8" s="75" t="s">
        <v>114</v>
      </c>
      <c r="R8" s="75"/>
      <c r="S8" s="53"/>
      <c r="T8" s="53"/>
      <c r="U8" s="85">
        <v>4</v>
      </c>
      <c r="Y8" s="91"/>
      <c r="Z8" s="92"/>
      <c r="AA8" s="93"/>
      <c r="AB8" s="102"/>
      <c r="AC8" s="103"/>
      <c r="AD8" s="103"/>
      <c r="AE8" s="103"/>
      <c r="AF8" s="103"/>
      <c r="AG8" s="103"/>
      <c r="AH8" s="104"/>
      <c r="AI8" s="97"/>
      <c r="AJ8" s="92"/>
      <c r="AK8" s="92"/>
      <c r="AL8" s="92"/>
      <c r="AM8" s="93"/>
      <c r="AN8" s="98"/>
      <c r="AO8" s="438"/>
      <c r="AP8" s="54" t="s">
        <v>272</v>
      </c>
      <c r="AQ8" s="402"/>
      <c r="AS8" s="54"/>
      <c r="AW8" s="530" t="str">
        <f>IF($Q$26=2, "Number of Munitions","")</f>
        <v/>
      </c>
      <c r="AX8" s="532"/>
      <c r="AY8" s="524" t="str">
        <f>IF($Q$26=2, $E$9,"")</f>
        <v/>
      </c>
      <c r="AZ8" s="525"/>
      <c r="BA8" s="526"/>
      <c r="BD8" s="106"/>
      <c r="BH8" s="530" t="str">
        <f>IF($Q$26=2, "Number of Munitions","")</f>
        <v/>
      </c>
      <c r="BI8" s="532"/>
      <c r="BJ8" s="524" t="str">
        <f>IF($Q$26=2, $E$9,"")</f>
        <v/>
      </c>
      <c r="BK8" s="525"/>
      <c r="BL8" s="526"/>
      <c r="BO8" s="56"/>
    </row>
    <row r="9" spans="2:68" ht="20.25" customHeight="1" thickBot="1" x14ac:dyDescent="0.45">
      <c r="B9" s="62"/>
      <c r="C9" s="88"/>
      <c r="D9" s="88"/>
      <c r="E9" s="496">
        <v>10000</v>
      </c>
      <c r="F9" s="497"/>
      <c r="I9" s="50">
        <v>59</v>
      </c>
      <c r="K9" s="496">
        <v>11.6</v>
      </c>
      <c r="L9" s="497"/>
      <c r="M9" s="71"/>
      <c r="N9" s="72"/>
      <c r="O9" s="84">
        <v>5</v>
      </c>
      <c r="P9" s="53" t="s">
        <v>98</v>
      </c>
      <c r="Q9" s="77" t="s">
        <v>34</v>
      </c>
      <c r="R9" s="77"/>
      <c r="S9" s="53"/>
      <c r="T9" s="53"/>
      <c r="U9" s="85">
        <v>5</v>
      </c>
      <c r="Y9" s="91"/>
      <c r="Z9" s="92"/>
      <c r="AA9" s="93"/>
      <c r="AB9" s="102"/>
      <c r="AC9" s="103"/>
      <c r="AD9" s="103"/>
      <c r="AE9" s="103"/>
      <c r="AF9" s="103"/>
      <c r="AG9" s="103"/>
      <c r="AH9" s="104"/>
      <c r="AI9" s="97"/>
      <c r="AJ9" s="92"/>
      <c r="AK9" s="92"/>
      <c r="AL9" s="92"/>
      <c r="AM9" s="93"/>
      <c r="AN9" s="98"/>
      <c r="AO9" s="438"/>
      <c r="AP9" s="54" t="s">
        <v>272</v>
      </c>
      <c r="AQ9" s="402"/>
      <c r="AS9" s="54"/>
      <c r="AT9" s="370"/>
      <c r="AU9" s="108"/>
      <c r="AV9" s="109"/>
      <c r="AW9" s="533" t="s">
        <v>48</v>
      </c>
      <c r="AX9" s="534"/>
      <c r="AY9" s="524">
        <f>$E$21</f>
        <v>10000</v>
      </c>
      <c r="AZ9" s="525"/>
      <c r="BA9" s="526"/>
      <c r="BB9" s="57"/>
      <c r="BD9" s="106"/>
      <c r="BF9" s="110"/>
      <c r="BG9" s="110"/>
      <c r="BH9" s="533" t="s">
        <v>48</v>
      </c>
      <c r="BI9" s="534"/>
      <c r="BJ9" s="524">
        <f>$E$21</f>
        <v>10000</v>
      </c>
      <c r="BK9" s="525"/>
      <c r="BL9" s="526"/>
      <c r="BM9" s="110"/>
      <c r="BN9" s="110"/>
      <c r="BO9" s="56"/>
    </row>
    <row r="10" spans="2:68" ht="20.25" customHeight="1" thickBot="1" x14ac:dyDescent="0.4">
      <c r="B10" s="62"/>
      <c r="C10" s="111"/>
      <c r="D10" s="111"/>
      <c r="E10" s="72"/>
      <c r="F10" s="72"/>
      <c r="G10" s="88"/>
      <c r="H10" s="88"/>
      <c r="K10" s="495" t="s">
        <v>579</v>
      </c>
      <c r="L10" s="495"/>
      <c r="M10" s="71"/>
      <c r="N10" s="72"/>
      <c r="O10" s="84">
        <v>6</v>
      </c>
      <c r="P10" s="53" t="s">
        <v>99</v>
      </c>
      <c r="Q10" s="77" t="s">
        <v>35</v>
      </c>
      <c r="R10" s="77"/>
      <c r="S10" s="53"/>
      <c r="T10" s="53"/>
      <c r="U10" s="85">
        <v>6</v>
      </c>
      <c r="Y10" s="91"/>
      <c r="Z10" s="92"/>
      <c r="AA10" s="93"/>
      <c r="AB10" s="102"/>
      <c r="AC10" s="103"/>
      <c r="AD10" s="103"/>
      <c r="AE10" s="103"/>
      <c r="AF10" s="103"/>
      <c r="AG10" s="103"/>
      <c r="AH10" s="104"/>
      <c r="AI10" s="97"/>
      <c r="AJ10" s="92"/>
      <c r="AK10" s="92"/>
      <c r="AL10" s="92"/>
      <c r="AM10" s="93"/>
      <c r="AN10" s="98"/>
      <c r="AO10" s="438"/>
      <c r="AP10" s="54" t="s">
        <v>272</v>
      </c>
      <c r="AQ10" s="402"/>
      <c r="AS10" s="54"/>
      <c r="AT10" s="371"/>
      <c r="AU10" s="112"/>
      <c r="AV10" s="56"/>
      <c r="AW10" s="533" t="s">
        <v>590</v>
      </c>
      <c r="AX10" s="534"/>
      <c r="AY10" s="524" t="str">
        <f>D23</f>
        <v>TNT</v>
      </c>
      <c r="AZ10" s="525"/>
      <c r="BA10" s="526"/>
      <c r="BB10" s="57"/>
      <c r="BC10" s="83"/>
      <c r="BD10" s="106"/>
      <c r="BG10" s="109"/>
      <c r="BH10" s="533" t="s">
        <v>590</v>
      </c>
      <c r="BI10" s="534"/>
      <c r="BJ10" s="524" t="str">
        <f>D23</f>
        <v>TNT</v>
      </c>
      <c r="BK10" s="525"/>
      <c r="BL10" s="526"/>
      <c r="BM10" s="57"/>
      <c r="BO10" s="56"/>
    </row>
    <row r="11" spans="2:68" ht="20.25" customHeight="1" thickBot="1" x14ac:dyDescent="0.4">
      <c r="B11" s="62"/>
      <c r="C11" s="111" t="s">
        <v>123</v>
      </c>
      <c r="D11" s="111"/>
      <c r="K11" s="496">
        <v>0</v>
      </c>
      <c r="L11" s="497"/>
      <c r="M11" s="71"/>
      <c r="N11" s="72"/>
      <c r="O11" s="84">
        <v>7</v>
      </c>
      <c r="P11" s="53" t="s">
        <v>100</v>
      </c>
      <c r="S11" s="53"/>
      <c r="T11" s="53"/>
      <c r="U11" s="85">
        <v>7</v>
      </c>
      <c r="Y11" s="91"/>
      <c r="Z11" s="92"/>
      <c r="AA11" s="93"/>
      <c r="AB11" s="102"/>
      <c r="AC11" s="103"/>
      <c r="AD11" s="103"/>
      <c r="AE11" s="103"/>
      <c r="AF11" s="103"/>
      <c r="AG11" s="103"/>
      <c r="AH11" s="104"/>
      <c r="AI11" s="97"/>
      <c r="AJ11" s="92"/>
      <c r="AK11" s="92"/>
      <c r="AL11" s="92"/>
      <c r="AM11" s="93"/>
      <c r="AN11" s="98"/>
      <c r="AO11" s="438"/>
      <c r="AP11" s="54" t="s">
        <v>273</v>
      </c>
      <c r="AQ11" s="402"/>
      <c r="AS11" s="54"/>
      <c r="AT11" s="371"/>
      <c r="AU11" s="112"/>
      <c r="AV11" s="56"/>
      <c r="AW11" s="527" t="s">
        <v>82</v>
      </c>
      <c r="AX11" s="528"/>
      <c r="AY11" s="528"/>
      <c r="AZ11" s="529"/>
      <c r="BA11" s="118">
        <f>Q38</f>
        <v>1</v>
      </c>
      <c r="BB11" s="57"/>
      <c r="BG11" s="56"/>
      <c r="BH11" s="527" t="s">
        <v>82</v>
      </c>
      <c r="BI11" s="528"/>
      <c r="BJ11" s="528"/>
      <c r="BK11" s="529"/>
      <c r="BL11" s="118">
        <f>BA11</f>
        <v>1</v>
      </c>
      <c r="BM11" s="57"/>
      <c r="BO11" s="56"/>
    </row>
    <row r="12" spans="2:68" ht="17.25" customHeight="1" thickBot="1" x14ac:dyDescent="0.4">
      <c r="B12" s="62"/>
      <c r="C12" s="88"/>
      <c r="D12" s="88"/>
      <c r="G12" s="113"/>
      <c r="H12" s="113"/>
      <c r="I12" s="113"/>
      <c r="M12" s="71"/>
      <c r="N12" s="72"/>
      <c r="O12" s="84">
        <v>8</v>
      </c>
      <c r="P12" s="53" t="s">
        <v>581</v>
      </c>
      <c r="S12" s="53"/>
      <c r="T12" s="53"/>
      <c r="U12" s="85">
        <v>8</v>
      </c>
      <c r="Y12" s="91"/>
      <c r="Z12" s="92"/>
      <c r="AA12" s="93"/>
      <c r="AB12" s="446"/>
      <c r="AC12" s="446"/>
      <c r="AD12" s="446"/>
      <c r="AE12" s="446"/>
      <c r="AF12" s="446"/>
      <c r="AG12" s="446"/>
      <c r="AH12" s="446"/>
      <c r="AI12" s="97"/>
      <c r="AJ12" s="92"/>
      <c r="AK12" s="92"/>
      <c r="AL12" s="92"/>
      <c r="AM12" s="93"/>
      <c r="AN12" s="98"/>
      <c r="AO12" s="438"/>
      <c r="AP12" s="54" t="s">
        <v>273</v>
      </c>
      <c r="AQ12" s="402"/>
      <c r="AS12" s="54"/>
      <c r="AT12" s="371"/>
      <c r="AU12" s="55"/>
      <c r="AV12" s="56"/>
      <c r="AW12" s="530" t="s">
        <v>83</v>
      </c>
      <c r="AX12" s="531"/>
      <c r="AY12" s="531"/>
      <c r="AZ12" s="532"/>
      <c r="BA12" s="118">
        <f>Q39</f>
        <v>1</v>
      </c>
      <c r="BB12" s="114"/>
      <c r="BC12" s="114"/>
      <c r="BG12" s="56"/>
      <c r="BH12" s="530" t="s">
        <v>83</v>
      </c>
      <c r="BI12" s="531"/>
      <c r="BJ12" s="531"/>
      <c r="BK12" s="532"/>
      <c r="BL12" s="118">
        <f>BA12</f>
        <v>1</v>
      </c>
      <c r="BM12" s="57"/>
      <c r="BO12" s="56"/>
    </row>
    <row r="13" spans="2:68" ht="17.399999999999999" thickTop="1" thickBot="1" x14ac:dyDescent="0.4">
      <c r="B13" s="62"/>
      <c r="C13" s="115"/>
      <c r="D13" s="115"/>
      <c r="F13" s="626" t="s">
        <v>59</v>
      </c>
      <c r="G13" s="627"/>
      <c r="H13" s="627"/>
      <c r="I13" s="627"/>
      <c r="J13" s="627"/>
      <c r="K13" s="627"/>
      <c r="L13" s="628"/>
      <c r="M13" s="89"/>
      <c r="N13" s="88"/>
      <c r="O13" s="84">
        <v>9</v>
      </c>
      <c r="P13" s="53" t="s">
        <v>582</v>
      </c>
      <c r="S13" s="53"/>
      <c r="T13" s="53"/>
      <c r="U13" s="85">
        <v>9</v>
      </c>
      <c r="Y13" s="116"/>
      <c r="Z13" s="117"/>
      <c r="AA13" s="93"/>
      <c r="AB13" s="102"/>
      <c r="AC13" s="103"/>
      <c r="AD13" s="103"/>
      <c r="AE13" s="103"/>
      <c r="AF13" s="103"/>
      <c r="AG13" s="103"/>
      <c r="AH13" s="104"/>
      <c r="AI13" s="97"/>
      <c r="AJ13" s="92"/>
      <c r="AK13" s="92"/>
      <c r="AL13" s="92"/>
      <c r="AM13" s="93"/>
      <c r="AN13" s="98"/>
      <c r="AO13" s="438"/>
      <c r="AP13" s="54" t="s">
        <v>273</v>
      </c>
      <c r="AQ13" s="402"/>
      <c r="AS13" s="54"/>
      <c r="AT13" s="371"/>
      <c r="AU13" s="55"/>
      <c r="AV13" s="56"/>
      <c r="BB13" s="114"/>
      <c r="BC13" s="114"/>
      <c r="BG13" s="56"/>
      <c r="BH13" s="130" t="s">
        <v>85</v>
      </c>
      <c r="BI13" s="375">
        <f>$F$33</f>
        <v>0</v>
      </c>
      <c r="BJ13" s="527" t="s">
        <v>35</v>
      </c>
      <c r="BK13" s="529"/>
      <c r="BL13" s="376">
        <f>$J$21</f>
        <v>14.696</v>
      </c>
      <c r="BM13" s="114"/>
      <c r="BO13" s="56"/>
    </row>
    <row r="14" spans="2:68" ht="16.5" customHeight="1" thickTop="1" thickBot="1" x14ac:dyDescent="0.4">
      <c r="B14" s="62"/>
      <c r="C14" s="119" t="s">
        <v>550</v>
      </c>
      <c r="D14" s="119"/>
      <c r="F14" s="506" t="str">
        <f>R94</f>
        <v/>
      </c>
      <c r="G14" s="507"/>
      <c r="H14" s="507"/>
      <c r="I14" s="507"/>
      <c r="J14" s="507"/>
      <c r="K14" s="507"/>
      <c r="L14" s="508"/>
      <c r="M14" s="120"/>
      <c r="N14" s="121"/>
      <c r="O14" s="84">
        <v>10</v>
      </c>
      <c r="P14" s="121" t="s">
        <v>583</v>
      </c>
      <c r="Q14" s="121"/>
      <c r="R14" s="121"/>
      <c r="S14" s="121"/>
      <c r="T14" s="105"/>
      <c r="U14" s="105"/>
      <c r="Y14" s="122"/>
      <c r="Z14" s="123"/>
      <c r="AA14" s="124"/>
      <c r="AB14" s="125"/>
      <c r="AC14" s="126"/>
      <c r="AD14" s="126"/>
      <c r="AE14" s="126"/>
      <c r="AF14" s="126"/>
      <c r="AG14" s="126"/>
      <c r="AH14" s="127"/>
      <c r="AI14" s="128"/>
      <c r="AJ14" s="123"/>
      <c r="AK14" s="123"/>
      <c r="AL14" s="123"/>
      <c r="AM14" s="124"/>
      <c r="AN14" s="98"/>
      <c r="AO14" s="439"/>
      <c r="AP14" s="54" t="s">
        <v>273</v>
      </c>
      <c r="AQ14" s="402"/>
      <c r="AS14" s="54"/>
      <c r="AT14" s="371"/>
      <c r="AU14" s="55"/>
      <c r="AV14" s="56"/>
      <c r="BB14" s="114"/>
      <c r="BC14" s="114"/>
      <c r="BG14" s="56"/>
      <c r="BI14" s="640" t="s">
        <v>76</v>
      </c>
      <c r="BJ14" s="641"/>
      <c r="BK14" s="118">
        <f>$J$22</f>
        <v>59</v>
      </c>
      <c r="BL14" s="378"/>
      <c r="BM14" s="114"/>
      <c r="BO14" s="56"/>
    </row>
    <row r="15" spans="2:68" ht="19.5" customHeight="1" thickBot="1" x14ac:dyDescent="0.35">
      <c r="B15" s="62"/>
      <c r="C15" s="383" t="s">
        <v>551</v>
      </c>
      <c r="D15" s="50">
        <v>2</v>
      </c>
      <c r="F15" s="623" t="str">
        <f>R95</f>
        <v/>
      </c>
      <c r="G15" s="624"/>
      <c r="H15" s="624"/>
      <c r="I15" s="624"/>
      <c r="J15" s="624"/>
      <c r="K15" s="624"/>
      <c r="L15" s="625"/>
      <c r="M15" s="120"/>
      <c r="N15" s="121"/>
      <c r="O15" s="54">
        <v>11</v>
      </c>
      <c r="P15" s="54" t="s">
        <v>584</v>
      </c>
      <c r="T15" s="105"/>
      <c r="U15" s="105"/>
      <c r="Y15" s="587" t="s">
        <v>145</v>
      </c>
      <c r="Z15" s="588"/>
      <c r="AA15" s="588"/>
      <c r="AB15" s="588"/>
      <c r="AC15" s="588"/>
      <c r="AD15" s="588"/>
      <c r="AE15" s="588"/>
      <c r="AF15" s="588"/>
      <c r="AG15" s="588"/>
      <c r="AH15" s="588"/>
      <c r="AI15" s="588"/>
      <c r="AJ15" s="588"/>
      <c r="AK15" s="588"/>
      <c r="AL15" s="588"/>
      <c r="AM15" s="588"/>
      <c r="AN15" s="588"/>
      <c r="AO15" s="589"/>
      <c r="AQ15" s="402"/>
      <c r="AS15" s="54"/>
      <c r="BG15" s="56"/>
      <c r="BK15" s="379"/>
      <c r="BL15" s="154"/>
      <c r="BM15" s="114"/>
      <c r="BO15" s="56"/>
    </row>
    <row r="16" spans="2:68" ht="19.5" customHeight="1" thickBot="1" x14ac:dyDescent="0.4">
      <c r="B16" s="62"/>
      <c r="C16" s="383" t="s">
        <v>552</v>
      </c>
      <c r="D16" s="50">
        <v>1</v>
      </c>
      <c r="F16" s="620" t="str">
        <f>R96</f>
        <v/>
      </c>
      <c r="G16" s="621"/>
      <c r="H16" s="621"/>
      <c r="I16" s="621"/>
      <c r="J16" s="621"/>
      <c r="K16" s="621"/>
      <c r="L16" s="622"/>
      <c r="M16" s="120"/>
      <c r="N16" s="121"/>
      <c r="O16" s="54">
        <v>12</v>
      </c>
      <c r="T16" s="105"/>
      <c r="U16" s="105"/>
      <c r="Y16" s="91" t="s">
        <v>58</v>
      </c>
      <c r="Z16" s="92">
        <v>1</v>
      </c>
      <c r="AA16" s="93">
        <v>1</v>
      </c>
      <c r="AB16" s="94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6">
        <v>0</v>
      </c>
      <c r="AI16" s="97">
        <f t="shared" ref="AI16" si="2">EXP(AB16+AC16*LN($X$3)+AD16*(LN($X$3))^2+AE16*(LN($X$3))^3+AF16*(LN($X$3))^4+AG16*(LN($X$3))^5+AH16*(LN($X$3))^6)</f>
        <v>1</v>
      </c>
      <c r="AJ16" s="92"/>
      <c r="AK16" s="92"/>
      <c r="AL16" s="92"/>
      <c r="AM16" s="93"/>
      <c r="AN16" s="98">
        <f>X5*Z16</f>
        <v>10000</v>
      </c>
      <c r="AO16" s="438">
        <f t="shared" ref="AO16" si="3">AN16*$Q$39/Z16</f>
        <v>10000</v>
      </c>
      <c r="AP16" s="54" t="s">
        <v>274</v>
      </c>
      <c r="AS16" s="54"/>
      <c r="AU16" s="55"/>
      <c r="AV16" s="56"/>
      <c r="AW16" s="495" t="s">
        <v>591</v>
      </c>
      <c r="AX16" s="495"/>
      <c r="AY16" s="495"/>
      <c r="AZ16" s="515"/>
      <c r="BA16" s="51">
        <v>100</v>
      </c>
      <c r="BB16" s="57"/>
      <c r="BC16" s="57"/>
      <c r="BH16" s="495" t="s">
        <v>592</v>
      </c>
      <c r="BI16" s="495"/>
      <c r="BJ16" s="495"/>
      <c r="BK16" s="515"/>
      <c r="BL16" s="51">
        <v>100</v>
      </c>
      <c r="BM16" s="72"/>
      <c r="BN16" s="72"/>
      <c r="BO16" s="56"/>
    </row>
    <row r="17" spans="2:68" ht="16.5" customHeight="1" thickBot="1" x14ac:dyDescent="0.35">
      <c r="B17" s="62"/>
      <c r="J17" s="135"/>
      <c r="K17" s="135"/>
      <c r="L17" s="121"/>
      <c r="M17" s="120"/>
      <c r="N17" s="121"/>
      <c r="O17" s="54">
        <v>13</v>
      </c>
      <c r="T17" s="105"/>
      <c r="U17" s="105"/>
      <c r="Y17" s="91"/>
      <c r="Z17" s="92"/>
      <c r="AA17" s="93"/>
      <c r="AB17" s="102"/>
      <c r="AC17" s="103"/>
      <c r="AD17" s="103"/>
      <c r="AE17" s="103"/>
      <c r="AF17" s="103"/>
      <c r="AG17" s="103"/>
      <c r="AH17" s="104"/>
      <c r="AI17" s="97"/>
      <c r="AJ17" s="92"/>
      <c r="AK17" s="92"/>
      <c r="AL17" s="92"/>
      <c r="AM17" s="93"/>
      <c r="AN17" s="98"/>
      <c r="AO17" s="438"/>
      <c r="AP17" s="54" t="s">
        <v>275</v>
      </c>
      <c r="AQ17" s="420"/>
      <c r="AW17" s="495" t="s">
        <v>593</v>
      </c>
      <c r="AX17" s="495"/>
      <c r="AY17" s="495"/>
      <c r="AZ17" s="495"/>
      <c r="BA17" s="380"/>
      <c r="BH17" s="495" t="s">
        <v>594</v>
      </c>
      <c r="BI17" s="495"/>
      <c r="BJ17" s="495"/>
      <c r="BK17" s="495"/>
      <c r="BL17" s="380"/>
    </row>
    <row r="18" spans="2:68" ht="30.6" thickTop="1" x14ac:dyDescent="0.5">
      <c r="B18" s="136"/>
      <c r="C18" s="607" t="s">
        <v>3</v>
      </c>
      <c r="D18" s="607"/>
      <c r="E18" s="608"/>
      <c r="F18" s="608"/>
      <c r="G18" s="608"/>
      <c r="H18" s="608"/>
      <c r="I18" s="608"/>
      <c r="J18" s="608"/>
      <c r="K18" s="608"/>
      <c r="L18" s="608"/>
      <c r="M18" s="137"/>
      <c r="N18" s="60"/>
      <c r="T18" s="105"/>
      <c r="U18" s="105"/>
      <c r="Y18" s="91"/>
      <c r="Z18" s="92"/>
      <c r="AA18" s="93"/>
      <c r="AB18" s="102"/>
      <c r="AC18" s="103"/>
      <c r="AD18" s="103"/>
      <c r="AE18" s="103"/>
      <c r="AF18" s="103"/>
      <c r="AG18" s="103"/>
      <c r="AH18" s="104"/>
      <c r="AI18" s="97"/>
      <c r="AJ18" s="92"/>
      <c r="AK18" s="92"/>
      <c r="AL18" s="92"/>
      <c r="AM18" s="93"/>
      <c r="AN18" s="98"/>
      <c r="AO18" s="438"/>
      <c r="AP18" s="54" t="s">
        <v>275</v>
      </c>
      <c r="AQ18" s="403"/>
      <c r="AS18" s="138" t="s">
        <v>79</v>
      </c>
      <c r="AT18" s="372" t="s">
        <v>79</v>
      </c>
      <c r="AU18" s="138" t="s">
        <v>78</v>
      </c>
      <c r="AV18" s="140" t="s">
        <v>8</v>
      </c>
      <c r="AW18" s="140" t="s">
        <v>11</v>
      </c>
      <c r="AX18" s="140" t="s">
        <v>11</v>
      </c>
      <c r="AY18" s="140" t="s">
        <v>14</v>
      </c>
      <c r="AZ18" s="140" t="s">
        <v>16</v>
      </c>
      <c r="BA18" s="140" t="s">
        <v>16</v>
      </c>
      <c r="BB18" s="140" t="s">
        <v>17</v>
      </c>
      <c r="BC18" s="140" t="s">
        <v>17</v>
      </c>
      <c r="BE18" s="138" t="s">
        <v>79</v>
      </c>
      <c r="BF18" s="138" t="s">
        <v>78</v>
      </c>
      <c r="BG18" s="138" t="s">
        <v>597</v>
      </c>
      <c r="BH18" s="140" t="s">
        <v>8</v>
      </c>
      <c r="BI18" s="140" t="s">
        <v>11</v>
      </c>
      <c r="BJ18" s="140" t="s">
        <v>11</v>
      </c>
      <c r="BK18" s="140" t="s">
        <v>14</v>
      </c>
      <c r="BL18" s="140" t="s">
        <v>16</v>
      </c>
      <c r="BM18" s="140" t="s">
        <v>16</v>
      </c>
      <c r="BN18" s="140" t="s">
        <v>17</v>
      </c>
      <c r="BO18" s="140" t="s">
        <v>17</v>
      </c>
    </row>
    <row r="19" spans="2:68" x14ac:dyDescent="0.3">
      <c r="B19" s="62"/>
      <c r="C19" s="54"/>
      <c r="D19" s="54"/>
      <c r="L19" s="54"/>
      <c r="M19" s="141"/>
      <c r="N19" s="54"/>
      <c r="Y19" s="91"/>
      <c r="Z19" s="92"/>
      <c r="AA19" s="93"/>
      <c r="AB19" s="102"/>
      <c r="AC19" s="103"/>
      <c r="AD19" s="103"/>
      <c r="AE19" s="103"/>
      <c r="AF19" s="103"/>
      <c r="AG19" s="103"/>
      <c r="AH19" s="104"/>
      <c r="AI19" s="97"/>
      <c r="AJ19" s="92"/>
      <c r="AK19" s="92"/>
      <c r="AL19" s="92"/>
      <c r="AM19" s="93"/>
      <c r="AN19" s="98"/>
      <c r="AO19" s="438"/>
      <c r="AP19" s="54" t="s">
        <v>275</v>
      </c>
      <c r="AQ19" s="402"/>
      <c r="AS19" s="142" t="s">
        <v>595</v>
      </c>
      <c r="AT19" s="146" t="s">
        <v>596</v>
      </c>
      <c r="AU19" s="142" t="s">
        <v>79</v>
      </c>
      <c r="AV19" s="144" t="s">
        <v>9</v>
      </c>
      <c r="AW19" s="144" t="s">
        <v>5</v>
      </c>
      <c r="AX19" s="144" t="s">
        <v>6</v>
      </c>
      <c r="AY19" s="144" t="s">
        <v>15</v>
      </c>
      <c r="AZ19" s="144" t="s">
        <v>5</v>
      </c>
      <c r="BA19" s="144" t="s">
        <v>6</v>
      </c>
      <c r="BB19" s="144" t="s">
        <v>5</v>
      </c>
      <c r="BC19" s="144" t="s">
        <v>6</v>
      </c>
      <c r="BE19" s="142" t="s">
        <v>596</v>
      </c>
      <c r="BF19" s="142" t="s">
        <v>79</v>
      </c>
      <c r="BG19" s="146" t="s">
        <v>595</v>
      </c>
      <c r="BH19" s="144" t="s">
        <v>9</v>
      </c>
      <c r="BI19" s="144" t="s">
        <v>5</v>
      </c>
      <c r="BJ19" s="144" t="s">
        <v>6</v>
      </c>
      <c r="BK19" s="144" t="s">
        <v>15</v>
      </c>
      <c r="BL19" s="144" t="s">
        <v>5</v>
      </c>
      <c r="BM19" s="144" t="s">
        <v>6</v>
      </c>
      <c r="BN19" s="144" t="s">
        <v>5</v>
      </c>
      <c r="BO19" s="144" t="s">
        <v>6</v>
      </c>
    </row>
    <row r="20" spans="2:68" ht="18.600000000000001" thickBot="1" x14ac:dyDescent="0.35">
      <c r="B20" s="62"/>
      <c r="C20" s="609" t="s">
        <v>41</v>
      </c>
      <c r="D20" s="609"/>
      <c r="E20" s="609"/>
      <c r="F20" s="147"/>
      <c r="G20" s="148"/>
      <c r="H20" s="148"/>
      <c r="I20" s="610" t="s">
        <v>19</v>
      </c>
      <c r="J20" s="610"/>
      <c r="K20" s="610"/>
      <c r="L20" s="610"/>
      <c r="M20" s="149"/>
      <c r="N20" s="150"/>
      <c r="O20" s="151" t="s">
        <v>249</v>
      </c>
      <c r="Y20" s="91"/>
      <c r="Z20" s="92"/>
      <c r="AA20" s="93"/>
      <c r="AB20" s="102"/>
      <c r="AC20" s="103"/>
      <c r="AD20" s="103"/>
      <c r="AE20" s="103"/>
      <c r="AF20" s="103"/>
      <c r="AG20" s="103"/>
      <c r="AH20" s="104"/>
      <c r="AI20" s="97"/>
      <c r="AJ20" s="92"/>
      <c r="AK20" s="92"/>
      <c r="AL20" s="92"/>
      <c r="AM20" s="93"/>
      <c r="AN20" s="98"/>
      <c r="AO20" s="438"/>
      <c r="AP20" s="54" t="s">
        <v>275</v>
      </c>
      <c r="AQ20" s="402"/>
      <c r="AS20" s="142" t="s">
        <v>608</v>
      </c>
      <c r="AT20" s="373" t="s">
        <v>7</v>
      </c>
      <c r="AU20" s="142" t="s">
        <v>102</v>
      </c>
      <c r="AV20" s="144" t="s">
        <v>10</v>
      </c>
      <c r="AW20" s="144" t="s">
        <v>12</v>
      </c>
      <c r="AX20" s="144" t="s">
        <v>13</v>
      </c>
      <c r="AY20" s="144" t="s">
        <v>10</v>
      </c>
      <c r="AZ20" s="144" t="s">
        <v>12</v>
      </c>
      <c r="BA20" s="144" t="s">
        <v>13</v>
      </c>
      <c r="BB20" s="144" t="s">
        <v>12</v>
      </c>
      <c r="BC20" s="144" t="s">
        <v>13</v>
      </c>
      <c r="BE20" s="142" t="s">
        <v>608</v>
      </c>
      <c r="BF20" s="142" t="s">
        <v>102</v>
      </c>
      <c r="BG20" s="142" t="s">
        <v>7</v>
      </c>
      <c r="BH20" s="144" t="s">
        <v>10</v>
      </c>
      <c r="BI20" s="144" t="s">
        <v>12</v>
      </c>
      <c r="BJ20" s="144" t="s">
        <v>13</v>
      </c>
      <c r="BK20" s="144" t="s">
        <v>10</v>
      </c>
      <c r="BL20" s="144" t="s">
        <v>12</v>
      </c>
      <c r="BM20" s="144" t="s">
        <v>13</v>
      </c>
      <c r="BN20" s="144" t="s">
        <v>12</v>
      </c>
      <c r="BO20" s="144" t="s">
        <v>13</v>
      </c>
    </row>
    <row r="21" spans="2:68" ht="16.2" thickBot="1" x14ac:dyDescent="0.35">
      <c r="B21" s="62"/>
      <c r="C21" s="54" t="s">
        <v>44</v>
      </c>
      <c r="D21" s="54"/>
      <c r="E21" s="152">
        <f>Q47</f>
        <v>10000</v>
      </c>
      <c r="F21" s="152"/>
      <c r="G21" s="153"/>
      <c r="H21" s="153"/>
      <c r="I21" s="54" t="s">
        <v>35</v>
      </c>
      <c r="J21" s="154">
        <f>$Q$66</f>
        <v>14.696</v>
      </c>
      <c r="K21" s="154"/>
      <c r="L21" s="54"/>
      <c r="M21" s="141"/>
      <c r="N21" s="54"/>
      <c r="O21" s="111" t="s">
        <v>158</v>
      </c>
      <c r="U21" s="155"/>
      <c r="Y21" s="91"/>
      <c r="Z21" s="92"/>
      <c r="AA21" s="93"/>
      <c r="AB21" s="102"/>
      <c r="AC21" s="103"/>
      <c r="AD21" s="103"/>
      <c r="AE21" s="103"/>
      <c r="AF21" s="103"/>
      <c r="AG21" s="103"/>
      <c r="AH21" s="104"/>
      <c r="AI21" s="97"/>
      <c r="AJ21" s="92"/>
      <c r="AK21" s="92"/>
      <c r="AL21" s="92"/>
      <c r="AM21" s="93"/>
      <c r="AN21" s="98"/>
      <c r="AO21" s="438"/>
      <c r="AP21" s="54" t="s">
        <v>276</v>
      </c>
      <c r="AQ21" s="402"/>
      <c r="AS21" s="338">
        <f>$I$6/$J$24</f>
        <v>100</v>
      </c>
      <c r="AT21" s="338">
        <f>$I$6/$J$24</f>
        <v>100</v>
      </c>
      <c r="AU21" s="339">
        <f>E36</f>
        <v>4.6415888336127775</v>
      </c>
      <c r="AV21" s="339">
        <f>IF(ISERROR($E$38),0,$E$38)</f>
        <v>24.026772636793208</v>
      </c>
      <c r="AW21" s="339">
        <f>IF(ISERROR($E$40),0,$E$40)</f>
        <v>49.817025286380328</v>
      </c>
      <c r="AX21" s="339">
        <f>IF(ISERROR($E$48),0,$E$48)</f>
        <v>349.82895319284455</v>
      </c>
      <c r="AY21" s="339">
        <f>IF(ISERROR($E$45),0,$E$45)</f>
        <v>33.808580266982318</v>
      </c>
      <c r="AZ21" s="339">
        <f>IF(ISERROR($E$43),0,$E$43)</f>
        <v>196.98158491170912</v>
      </c>
      <c r="BA21" s="339">
        <f>IF(ISERROR($E$51),0,$E$51)</f>
        <v>967.04262786337836</v>
      </c>
      <c r="BB21" s="339">
        <f>IF(ISERROR($E$54),0,$E$54)</f>
        <v>40.122641727426497</v>
      </c>
      <c r="BC21" s="339">
        <f>IF(ISERROR($E$57),0,$E$57)</f>
        <v>185.60411078459217</v>
      </c>
      <c r="BD21" s="374"/>
      <c r="BE21" s="339">
        <f>$F$34</f>
        <v>100</v>
      </c>
      <c r="BF21" s="339">
        <f>$F$36</f>
        <v>4.6415888336127775</v>
      </c>
      <c r="BG21" s="339">
        <f>IF(ISERROR($E$34),0,$E$34)</f>
        <v>100</v>
      </c>
      <c r="BH21" s="339">
        <f>IF(ISERROR($F$38),0,$F$38)</f>
        <v>24.026772636793208</v>
      </c>
      <c r="BI21" s="339">
        <f>IF(ISERROR($F$40),0,$F$40)</f>
        <v>49.817025286380328</v>
      </c>
      <c r="BJ21" s="339">
        <f>IF(ISERROR($F$48),0,$F$48)</f>
        <v>349.82895319284455</v>
      </c>
      <c r="BK21" s="339">
        <f>IF(ISERROR($F$45),0,$F$45)</f>
        <v>33.808580266982318</v>
      </c>
      <c r="BL21" s="339">
        <f>IF(ISERROR($F$43),0,$F$43)</f>
        <v>196.98158491170912</v>
      </c>
      <c r="BM21" s="339">
        <f>IF(ISERROR($F$51),0,$F$51)</f>
        <v>967.04262786337836</v>
      </c>
      <c r="BN21" s="339">
        <f>IF(ISERROR($F$54),0,$F$54)</f>
        <v>40.122641727426497</v>
      </c>
      <c r="BO21" s="339">
        <f>IF(ISERROR($F$57),0,$F$57)</f>
        <v>185.60411078459217</v>
      </c>
    </row>
    <row r="22" spans="2:68" x14ac:dyDescent="0.3">
      <c r="B22" s="62"/>
      <c r="C22" s="54" t="s">
        <v>225</v>
      </c>
      <c r="D22" s="54"/>
      <c r="E22" s="156">
        <f>Q41</f>
        <v>1</v>
      </c>
      <c r="F22" s="156"/>
      <c r="G22" s="153"/>
      <c r="H22" s="153"/>
      <c r="I22" s="54" t="s">
        <v>76</v>
      </c>
      <c r="J22" s="157">
        <f>$I$9</f>
        <v>59</v>
      </c>
      <c r="K22" s="157"/>
      <c r="L22" s="54"/>
      <c r="M22" s="141"/>
      <c r="N22" s="54"/>
      <c r="O22" s="155"/>
      <c r="P22" s="74" t="s">
        <v>111</v>
      </c>
      <c r="Q22" s="158" t="s">
        <v>109</v>
      </c>
      <c r="R22" s="158"/>
      <c r="S22" s="158"/>
      <c r="T22" s="74" t="s">
        <v>110</v>
      </c>
      <c r="U22" s="155"/>
      <c r="Y22" s="91"/>
      <c r="Z22" s="92"/>
      <c r="AA22" s="93"/>
      <c r="AB22" s="102"/>
      <c r="AC22" s="103"/>
      <c r="AD22" s="103"/>
      <c r="AE22" s="103"/>
      <c r="AF22" s="103"/>
      <c r="AG22" s="463"/>
      <c r="AH22" s="464"/>
      <c r="AI22" s="97"/>
      <c r="AJ22" s="92"/>
      <c r="AK22" s="92"/>
      <c r="AL22" s="92"/>
      <c r="AM22" s="93"/>
      <c r="AN22" s="98"/>
      <c r="AO22" s="438"/>
      <c r="AP22" s="54" t="s">
        <v>276</v>
      </c>
      <c r="AQ22" s="402"/>
      <c r="AS22" s="159">
        <f>0.5*$BA$16</f>
        <v>50</v>
      </c>
      <c r="AT22" s="159">
        <f>0.5*$BA$16*$J$24</f>
        <v>50</v>
      </c>
      <c r="AU22" s="161">
        <f t="dataTable" ref="AU22:BC59" dt2D="0" dtr="0" r1="I6" ca="1"/>
        <v>2.3207944168063888</v>
      </c>
      <c r="AV22" s="161">
        <v>6.6680454587613731</v>
      </c>
      <c r="AW22" s="161">
        <v>233.20151427149409</v>
      </c>
      <c r="AX22" s="161">
        <v>549.80402898758803</v>
      </c>
      <c r="AY22" s="161">
        <v>21.597204218500178</v>
      </c>
      <c r="AZ22" s="161">
        <v>1463.9410073032877</v>
      </c>
      <c r="BA22" s="161">
        <v>2376.0285680500315</v>
      </c>
      <c r="BB22" s="161">
        <v>422.32165283282842</v>
      </c>
      <c r="BC22" s="161">
        <v>539.16864636041737</v>
      </c>
      <c r="BE22" s="161">
        <f>0.5*$BL$16</f>
        <v>50</v>
      </c>
      <c r="BF22" s="161">
        <f t="dataTable" ref="BF22:BO59" dt2D="0" dtr="0" r1="I6"/>
        <v>2.3207944168063888</v>
      </c>
      <c r="BG22" s="161">
        <v>50</v>
      </c>
      <c r="BH22" s="161">
        <v>6.6680454587613731</v>
      </c>
      <c r="BI22" s="161">
        <v>233.20151427149409</v>
      </c>
      <c r="BJ22" s="161">
        <v>549.80402898758803</v>
      </c>
      <c r="BK22" s="161">
        <v>21.597204218500178</v>
      </c>
      <c r="BL22" s="161">
        <v>1463.9410073032877</v>
      </c>
      <c r="BM22" s="161">
        <v>2376.0285680500315</v>
      </c>
      <c r="BN22" s="161">
        <v>422.32165283282842</v>
      </c>
      <c r="BO22" s="161">
        <v>539.16864636041737</v>
      </c>
    </row>
    <row r="23" spans="2:68" ht="18" x14ac:dyDescent="0.4">
      <c r="B23" s="62"/>
      <c r="C23" s="54" t="s">
        <v>590</v>
      </c>
      <c r="D23" s="494" t="str">
        <f>Q37</f>
        <v>TNT</v>
      </c>
      <c r="E23" s="494"/>
      <c r="F23" s="156"/>
      <c r="G23" s="153"/>
      <c r="H23" s="153"/>
      <c r="I23" s="163" t="s">
        <v>60</v>
      </c>
      <c r="J23" s="164">
        <f>Q70</f>
        <v>1</v>
      </c>
      <c r="K23" s="157"/>
      <c r="L23" s="54"/>
      <c r="M23" s="141"/>
      <c r="N23" s="54"/>
      <c r="P23" s="85" t="s">
        <v>55</v>
      </c>
      <c r="Q23" s="165">
        <v>1</v>
      </c>
      <c r="R23" s="105"/>
      <c r="S23" s="105"/>
      <c r="T23" s="54" t="str">
        <f>INDEX(PEStypes,Q23)</f>
        <v>Open Storage/STANDARD</v>
      </c>
      <c r="Y23" s="116"/>
      <c r="Z23" s="117"/>
      <c r="AA23" s="93"/>
      <c r="AB23" s="102"/>
      <c r="AC23" s="103"/>
      <c r="AD23" s="103"/>
      <c r="AE23" s="103"/>
      <c r="AF23" s="103"/>
      <c r="AG23" s="103"/>
      <c r="AH23" s="104"/>
      <c r="AI23" s="97"/>
      <c r="AJ23" s="92"/>
      <c r="AK23" s="92"/>
      <c r="AL23" s="92"/>
      <c r="AM23" s="93"/>
      <c r="AN23" s="98"/>
      <c r="AO23" s="438"/>
      <c r="AP23" s="54" t="s">
        <v>276</v>
      </c>
      <c r="AQ23" s="402"/>
      <c r="AS23" s="166">
        <f>0.6*$BA$16</f>
        <v>60</v>
      </c>
      <c r="AT23" s="166">
        <f>0.6*$BA$16*$J$24</f>
        <v>60</v>
      </c>
      <c r="AU23" s="168">
        <v>2.7849533001676665</v>
      </c>
      <c r="AV23" s="168">
        <v>9.2689069781262052</v>
      </c>
      <c r="AW23" s="168">
        <v>158.68869904433853</v>
      </c>
      <c r="AX23" s="168">
        <v>543.03965609630586</v>
      </c>
      <c r="AY23" s="168">
        <v>33.98808707998468</v>
      </c>
      <c r="AZ23" s="168">
        <v>896.61218326650362</v>
      </c>
      <c r="BA23" s="168">
        <v>1859.3414846162275</v>
      </c>
      <c r="BB23" s="168">
        <v>240.41234595642254</v>
      </c>
      <c r="BC23" s="168">
        <v>361.62461702809162</v>
      </c>
      <c r="BE23" s="168">
        <f>0.6*$BL$16</f>
        <v>60</v>
      </c>
      <c r="BF23" s="168">
        <v>2.7849533001676665</v>
      </c>
      <c r="BG23" s="168">
        <v>60</v>
      </c>
      <c r="BH23" s="168">
        <v>9.2689069781262052</v>
      </c>
      <c r="BI23" s="168">
        <v>158.68869904433853</v>
      </c>
      <c r="BJ23" s="168">
        <v>543.03965609630586</v>
      </c>
      <c r="BK23" s="168">
        <v>33.98808707998468</v>
      </c>
      <c r="BL23" s="168">
        <v>896.61218326650362</v>
      </c>
      <c r="BM23" s="168">
        <v>1859.3414846162275</v>
      </c>
      <c r="BN23" s="168">
        <v>240.41234595642254</v>
      </c>
      <c r="BO23" s="168">
        <v>361.62461702809162</v>
      </c>
    </row>
    <row r="24" spans="2:68" ht="18.600000000000001" thickBot="1" x14ac:dyDescent="0.45">
      <c r="B24" s="62"/>
      <c r="C24" s="54" t="s">
        <v>74</v>
      </c>
      <c r="D24" s="54"/>
      <c r="E24" s="57">
        <f>Q38</f>
        <v>1</v>
      </c>
      <c r="F24" s="57"/>
      <c r="G24" s="153"/>
      <c r="H24" s="153"/>
      <c r="I24" s="163" t="s">
        <v>61</v>
      </c>
      <c r="J24" s="164">
        <f>Q71</f>
        <v>1</v>
      </c>
      <c r="K24" s="164"/>
      <c r="L24" s="54"/>
      <c r="M24" s="141"/>
      <c r="N24" s="54"/>
      <c r="P24" s="54" t="s">
        <v>227</v>
      </c>
      <c r="Q24" s="165">
        <v>1</v>
      </c>
      <c r="R24" s="105"/>
      <c r="S24" s="105"/>
      <c r="T24" s="54" t="str">
        <f>INDEX(WeaponTypes,Q24)</f>
        <v>Bulk/Light Cased:  STANDARD</v>
      </c>
      <c r="V24" s="155"/>
      <c r="W24" s="155"/>
      <c r="Y24" s="170"/>
      <c r="Z24" s="81"/>
      <c r="AA24" s="82"/>
      <c r="AB24" s="171"/>
      <c r="AC24" s="172"/>
      <c r="AD24" s="172"/>
      <c r="AE24" s="172"/>
      <c r="AF24" s="172"/>
      <c r="AG24" s="172"/>
      <c r="AH24" s="173"/>
      <c r="AI24" s="422"/>
      <c r="AJ24" s="81"/>
      <c r="AK24" s="81"/>
      <c r="AL24" s="81"/>
      <c r="AM24" s="82"/>
      <c r="AN24" s="449"/>
      <c r="AO24" s="440"/>
      <c r="AP24" s="54" t="s">
        <v>276</v>
      </c>
      <c r="AQ24" s="402"/>
      <c r="AS24" s="166">
        <f>0.7*$BA$16</f>
        <v>70</v>
      </c>
      <c r="AT24" s="166">
        <f>0.7*$BA$16*$J$24</f>
        <v>70</v>
      </c>
      <c r="AU24" s="168">
        <v>3.2491121835289443</v>
      </c>
      <c r="AV24" s="168">
        <v>12.320346705712048</v>
      </c>
      <c r="AW24" s="168">
        <v>112.90665325461158</v>
      </c>
      <c r="AX24" s="168">
        <v>487.42993382129447</v>
      </c>
      <c r="AY24" s="168">
        <v>36.690371530209653</v>
      </c>
      <c r="AZ24" s="168">
        <v>577.42981643288488</v>
      </c>
      <c r="BA24" s="168">
        <v>1518.8986003961311</v>
      </c>
      <c r="BB24" s="168">
        <v>144.21676036772948</v>
      </c>
      <c r="BC24" s="168">
        <v>281.7354188159145</v>
      </c>
      <c r="BE24" s="168">
        <f>0.7*$BL$16</f>
        <v>70</v>
      </c>
      <c r="BF24" s="168">
        <v>3.2491121835289443</v>
      </c>
      <c r="BG24" s="168">
        <v>70</v>
      </c>
      <c r="BH24" s="168">
        <v>12.320346705712048</v>
      </c>
      <c r="BI24" s="168">
        <v>112.90665325461158</v>
      </c>
      <c r="BJ24" s="168">
        <v>487.42993382129447</v>
      </c>
      <c r="BK24" s="168">
        <v>36.690371530209653</v>
      </c>
      <c r="BL24" s="168">
        <v>577.42981643288488</v>
      </c>
      <c r="BM24" s="168">
        <v>1518.8986003961311</v>
      </c>
      <c r="BN24" s="168">
        <v>144.21676036772948</v>
      </c>
      <c r="BO24" s="168">
        <v>281.7354188159145</v>
      </c>
    </row>
    <row r="25" spans="2:68" ht="18.75" customHeight="1" x14ac:dyDescent="0.4">
      <c r="B25" s="62"/>
      <c r="C25" s="54" t="s">
        <v>75</v>
      </c>
      <c r="D25" s="54"/>
      <c r="E25" s="57">
        <f>Q39</f>
        <v>1</v>
      </c>
      <c r="F25" s="57"/>
      <c r="I25" s="163" t="s">
        <v>62</v>
      </c>
      <c r="J25" s="164">
        <f>Q72</f>
        <v>1</v>
      </c>
      <c r="K25" s="164"/>
      <c r="L25" s="54"/>
      <c r="M25" s="141"/>
      <c r="N25" s="54"/>
      <c r="P25" s="175" t="s">
        <v>122</v>
      </c>
      <c r="Q25" s="176">
        <v>1</v>
      </c>
      <c r="R25" s="177"/>
      <c r="S25" s="177"/>
      <c r="T25" s="85" t="str">
        <f>INDEX(ExplTypes,Q25)</f>
        <v>Based on Munition Type Selected</v>
      </c>
      <c r="U25" s="85"/>
      <c r="W25" s="85"/>
      <c r="X25" s="155"/>
      <c r="Z25" s="178"/>
      <c r="AA25" s="178"/>
      <c r="AB25" s="179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55"/>
      <c r="AQ25" s="402"/>
      <c r="AS25" s="166">
        <f>0.8*$BA$16</f>
        <v>80</v>
      </c>
      <c r="AT25" s="166">
        <f>0.8*$BA$16*$J$24</f>
        <v>80</v>
      </c>
      <c r="AU25" s="168">
        <v>3.713271066890222</v>
      </c>
      <c r="AV25" s="168">
        <v>15.816889908416568</v>
      </c>
      <c r="AW25" s="168">
        <v>83.387654928739749</v>
      </c>
      <c r="AX25" s="168">
        <v>433.39789471043389</v>
      </c>
      <c r="AY25" s="168">
        <v>35.841514648971511</v>
      </c>
      <c r="AZ25" s="168">
        <v>388.7442935111971</v>
      </c>
      <c r="BA25" s="168">
        <v>1279.3627951013616</v>
      </c>
      <c r="BB25" s="168">
        <v>90.58088002305233</v>
      </c>
      <c r="BC25" s="168">
        <v>239.90455701227256</v>
      </c>
      <c r="BE25" s="168">
        <f>0.8*$BL$16</f>
        <v>80</v>
      </c>
      <c r="BF25" s="168">
        <v>3.713271066890222</v>
      </c>
      <c r="BG25" s="168">
        <v>80</v>
      </c>
      <c r="BH25" s="168">
        <v>15.816889908416568</v>
      </c>
      <c r="BI25" s="168">
        <v>83.387654928739749</v>
      </c>
      <c r="BJ25" s="168">
        <v>433.39789471043389</v>
      </c>
      <c r="BK25" s="168">
        <v>35.841514648971511</v>
      </c>
      <c r="BL25" s="168">
        <v>388.7442935111971</v>
      </c>
      <c r="BM25" s="168">
        <v>1279.3627951013616</v>
      </c>
      <c r="BN25" s="168">
        <v>90.58088002305233</v>
      </c>
      <c r="BO25" s="168">
        <v>239.90455701227256</v>
      </c>
      <c r="BP25" s="55"/>
    </row>
    <row r="26" spans="2:68" ht="18.600000000000001" thickBot="1" x14ac:dyDescent="0.45">
      <c r="B26" s="62"/>
      <c r="C26" s="54" t="s">
        <v>254</v>
      </c>
      <c r="D26" s="54"/>
      <c r="E26" s="152">
        <f>IF($Q$23=1,$E$21*$E$24,$E$21)</f>
        <v>10000</v>
      </c>
      <c r="F26" s="152"/>
      <c r="I26" s="163" t="s">
        <v>63</v>
      </c>
      <c r="J26" s="164">
        <f>Q73</f>
        <v>1</v>
      </c>
      <c r="K26" s="164"/>
      <c r="L26" s="54"/>
      <c r="M26" s="141"/>
      <c r="N26" s="54"/>
      <c r="P26" s="54" t="s">
        <v>232</v>
      </c>
      <c r="Q26" s="165">
        <v>1</v>
      </c>
      <c r="R26" s="105"/>
      <c r="S26" s="105"/>
      <c r="T26" s="85" t="str">
        <f>IF(Q24=1,"Total NEW (lbs)",INDEX(Q5:Q6,Q26))</f>
        <v>Total NEW (lbs)</v>
      </c>
      <c r="V26" s="105"/>
      <c r="X26" s="85"/>
      <c r="Y26" s="61" t="s">
        <v>293</v>
      </c>
      <c r="Z26" s="178"/>
      <c r="AA26" s="178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85"/>
      <c r="AQ26" s="402"/>
      <c r="AS26" s="166">
        <f>0.9*$BA$16</f>
        <v>90</v>
      </c>
      <c r="AT26" s="166">
        <f>0.9*$BA$16*$J$24</f>
        <v>90</v>
      </c>
      <c r="AU26" s="168">
        <v>4.1774299502514998</v>
      </c>
      <c r="AV26" s="168">
        <v>19.743804992765011</v>
      </c>
      <c r="AW26" s="168">
        <v>63.57511289143941</v>
      </c>
      <c r="AX26" s="168">
        <v>387.41355301645649</v>
      </c>
      <c r="AY26" s="168">
        <v>34.529735507509052</v>
      </c>
      <c r="AZ26" s="168">
        <v>272.71545867964329</v>
      </c>
      <c r="BA26" s="168">
        <v>1102.5104059520343</v>
      </c>
      <c r="BB26" s="168">
        <v>59.230336047297719</v>
      </c>
      <c r="BC26" s="168">
        <v>211.38571472798949</v>
      </c>
      <c r="BE26" s="182">
        <f>0.9*$BL$16</f>
        <v>90</v>
      </c>
      <c r="BF26" s="182">
        <v>4.1774299502514998</v>
      </c>
      <c r="BG26" s="182">
        <v>90</v>
      </c>
      <c r="BH26" s="182">
        <v>19.743804992765011</v>
      </c>
      <c r="BI26" s="182">
        <v>63.57511289143941</v>
      </c>
      <c r="BJ26" s="182">
        <v>387.41355301645649</v>
      </c>
      <c r="BK26" s="182">
        <v>34.529735507509052</v>
      </c>
      <c r="BL26" s="182">
        <v>272.71545867964329</v>
      </c>
      <c r="BM26" s="182">
        <v>1102.5104059520343</v>
      </c>
      <c r="BN26" s="182">
        <v>59.230336047297719</v>
      </c>
      <c r="BO26" s="182">
        <v>211.38571472798949</v>
      </c>
      <c r="BP26" s="55"/>
    </row>
    <row r="27" spans="2:68" ht="19.5" customHeight="1" thickTop="1" thickBot="1" x14ac:dyDescent="0.35">
      <c r="B27" s="62"/>
      <c r="C27" s="54" t="s">
        <v>255</v>
      </c>
      <c r="D27" s="54"/>
      <c r="E27" s="152">
        <f>IF($Q$23=1,$E$21*$E$25,$E$21)</f>
        <v>10000</v>
      </c>
      <c r="F27" s="152"/>
      <c r="K27" s="164"/>
      <c r="L27" s="54"/>
      <c r="M27" s="141"/>
      <c r="N27" s="54"/>
      <c r="P27" s="54" t="s">
        <v>115</v>
      </c>
      <c r="Q27" s="165">
        <v>1</v>
      </c>
      <c r="R27" s="105"/>
      <c r="S27" s="105"/>
      <c r="T27" s="54" t="str">
        <f>INDEX(AtmDescrip,Q27)</f>
        <v>Altitude (feet)</v>
      </c>
      <c r="V27" s="155"/>
      <c r="W27" s="155"/>
      <c r="Y27" s="581" t="s">
        <v>227</v>
      </c>
      <c r="Z27" s="582"/>
      <c r="AA27" s="583"/>
      <c r="AB27" s="587" t="s">
        <v>148</v>
      </c>
      <c r="AC27" s="588"/>
      <c r="AD27" s="588"/>
      <c r="AE27" s="588"/>
      <c r="AF27" s="588"/>
      <c r="AG27" s="588"/>
      <c r="AH27" s="589"/>
      <c r="AI27" s="590" t="s">
        <v>151</v>
      </c>
      <c r="AJ27" s="551" t="s">
        <v>267</v>
      </c>
      <c r="AK27" s="552"/>
      <c r="AL27" s="551" t="s">
        <v>152</v>
      </c>
      <c r="AM27" s="588"/>
      <c r="AN27" s="595" t="s">
        <v>154</v>
      </c>
      <c r="AO27" s="520"/>
      <c r="AQ27" s="402"/>
      <c r="AS27" s="47">
        <f>1*$BA$16</f>
        <v>100</v>
      </c>
      <c r="AT27" s="47">
        <f>1*$BA$16*$J$24</f>
        <v>100</v>
      </c>
      <c r="AU27" s="47">
        <v>4.6415888336127775</v>
      </c>
      <c r="AV27" s="48">
        <v>24.026772636793208</v>
      </c>
      <c r="AW27" s="48">
        <v>49.817025286380328</v>
      </c>
      <c r="AX27" s="48">
        <v>349.82895319284455</v>
      </c>
      <c r="AY27" s="48">
        <v>33.808580266982318</v>
      </c>
      <c r="AZ27" s="48">
        <v>196.98158491170912</v>
      </c>
      <c r="BA27" s="48">
        <v>967.04262786337836</v>
      </c>
      <c r="BB27" s="48">
        <v>40.122641727426497</v>
      </c>
      <c r="BC27" s="48">
        <v>185.60411078459217</v>
      </c>
      <c r="BE27" s="48">
        <f>1*$BL$16</f>
        <v>100</v>
      </c>
      <c r="BF27" s="48">
        <v>4.6415888336127775</v>
      </c>
      <c r="BG27" s="48">
        <v>100</v>
      </c>
      <c r="BH27" s="48">
        <v>24.026772636793208</v>
      </c>
      <c r="BI27" s="48">
        <v>49.817025286380328</v>
      </c>
      <c r="BJ27" s="48">
        <v>349.82895319284455</v>
      </c>
      <c r="BK27" s="48">
        <v>33.808580266982318</v>
      </c>
      <c r="BL27" s="48">
        <v>196.98158491170912</v>
      </c>
      <c r="BM27" s="48">
        <v>967.04262786337836</v>
      </c>
      <c r="BN27" s="48">
        <v>40.122641727426497</v>
      </c>
      <c r="BO27" s="48">
        <v>185.60411078459217</v>
      </c>
      <c r="BP27" s="55"/>
    </row>
    <row r="28" spans="2:68" ht="19.2" thickTop="1" thickBot="1" x14ac:dyDescent="0.4">
      <c r="B28" s="62"/>
      <c r="C28" s="85" t="s">
        <v>256</v>
      </c>
      <c r="D28" s="85"/>
      <c r="E28" s="152">
        <f>IF($Q$23=1,INDEX($AO$6:$AO$14,$Q$24),INDEX($AN$30:$AN$41,$Q$23-1,1))</f>
        <v>10000</v>
      </c>
      <c r="F28" s="152"/>
      <c r="I28" s="163"/>
      <c r="J28" s="184"/>
      <c r="K28" s="184"/>
      <c r="L28" s="54"/>
      <c r="M28" s="141"/>
      <c r="N28" s="54"/>
      <c r="Y28" s="584"/>
      <c r="Z28" s="585"/>
      <c r="AA28" s="586"/>
      <c r="AB28" s="78" t="s">
        <v>87</v>
      </c>
      <c r="AC28" s="79" t="s">
        <v>88</v>
      </c>
      <c r="AD28" s="79" t="s">
        <v>89</v>
      </c>
      <c r="AE28" s="79" t="s">
        <v>37</v>
      </c>
      <c r="AF28" s="79" t="s">
        <v>90</v>
      </c>
      <c r="AG28" s="79" t="s">
        <v>91</v>
      </c>
      <c r="AH28" s="80" t="s">
        <v>92</v>
      </c>
      <c r="AI28" s="591"/>
      <c r="AJ28" s="81" t="s">
        <v>261</v>
      </c>
      <c r="AK28" s="81" t="s">
        <v>262</v>
      </c>
      <c r="AL28" s="81" t="s">
        <v>263</v>
      </c>
      <c r="AM28" s="82" t="s">
        <v>264</v>
      </c>
      <c r="AN28" s="596"/>
      <c r="AO28" s="520"/>
      <c r="AP28" s="155"/>
      <c r="AQ28" s="402"/>
      <c r="AS28" s="166">
        <f>1.2*$BA$16</f>
        <v>120</v>
      </c>
      <c r="AT28" s="166">
        <f>1.2*$BA$16*$J$24</f>
        <v>120</v>
      </c>
      <c r="AU28" s="168">
        <v>5.569906600335333</v>
      </c>
      <c r="AV28" s="168">
        <v>33.799893088071016</v>
      </c>
      <c r="AW28" s="168">
        <v>32.766462466989147</v>
      </c>
      <c r="AX28" s="168">
        <v>294.39125490292554</v>
      </c>
      <c r="AY28" s="168">
        <v>34.923032228485631</v>
      </c>
      <c r="AZ28" s="168">
        <v>113.24926757909776</v>
      </c>
      <c r="BA28" s="168">
        <v>773.98450172984178</v>
      </c>
      <c r="BB28" s="168">
        <v>20.136576365511878</v>
      </c>
      <c r="BC28" s="168">
        <v>132.47331634404395</v>
      </c>
      <c r="BE28" s="161">
        <f>1.2*$BL$16</f>
        <v>120</v>
      </c>
      <c r="BF28" s="161">
        <v>5.569906600335333</v>
      </c>
      <c r="BG28" s="161">
        <v>120</v>
      </c>
      <c r="BH28" s="161">
        <v>33.799893088071016</v>
      </c>
      <c r="BI28" s="161">
        <v>32.766462466989147</v>
      </c>
      <c r="BJ28" s="161">
        <v>294.39125490292554</v>
      </c>
      <c r="BK28" s="161">
        <v>34.923032228485631</v>
      </c>
      <c r="BL28" s="161">
        <v>113.24926757909776</v>
      </c>
      <c r="BM28" s="161">
        <v>773.98450172984178</v>
      </c>
      <c r="BN28" s="161">
        <v>20.136576365511878</v>
      </c>
      <c r="BO28" s="161">
        <v>132.47331634404395</v>
      </c>
      <c r="BP28" s="55"/>
    </row>
    <row r="29" spans="2:68" ht="16.2" thickBot="1" x14ac:dyDescent="0.35">
      <c r="B29" s="62"/>
      <c r="C29" s="85" t="s">
        <v>257</v>
      </c>
      <c r="D29" s="85"/>
      <c r="E29" s="152">
        <f>IF($Q$23=1,INDEX($AO$16:$AO$24,$Q$24),INDEX($AN$43:$AN$54,$Q$23-1,1))</f>
        <v>10000</v>
      </c>
      <c r="F29" s="152"/>
      <c r="I29" s="72"/>
      <c r="L29" s="54"/>
      <c r="M29" s="141"/>
      <c r="N29" s="54"/>
      <c r="O29" s="111" t="s">
        <v>159</v>
      </c>
      <c r="R29" s="190"/>
      <c r="T29" s="111" t="s">
        <v>157</v>
      </c>
      <c r="Y29" s="597" t="s">
        <v>144</v>
      </c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  <c r="AN29" s="599"/>
      <c r="AO29" s="191"/>
      <c r="AS29" s="166">
        <f>1.4*$BA$16</f>
        <v>140</v>
      </c>
      <c r="AT29" s="166">
        <f>1.4*$BA$16*$J$24</f>
        <v>140</v>
      </c>
      <c r="AU29" s="168">
        <v>6.4982243670578885</v>
      </c>
      <c r="AV29" s="168">
        <v>44.851705826263029</v>
      </c>
      <c r="AW29" s="168">
        <v>23.225311665615653</v>
      </c>
      <c r="AX29" s="168">
        <v>251.95285492785726</v>
      </c>
      <c r="AY29" s="168">
        <v>39.47964383162536</v>
      </c>
      <c r="AZ29" s="168">
        <v>72.397603645066255</v>
      </c>
      <c r="BA29" s="168">
        <v>643.64146183546211</v>
      </c>
      <c r="BB29" s="168">
        <v>11.14456424417391</v>
      </c>
      <c r="BC29" s="168">
        <v>86.270979829919554</v>
      </c>
      <c r="BE29" s="168">
        <f>1.4*$BL$16</f>
        <v>140</v>
      </c>
      <c r="BF29" s="168">
        <v>6.4982243670578885</v>
      </c>
      <c r="BG29" s="168">
        <v>140</v>
      </c>
      <c r="BH29" s="168">
        <v>44.851705826263029</v>
      </c>
      <c r="BI29" s="168">
        <v>23.225311665615653</v>
      </c>
      <c r="BJ29" s="168">
        <v>251.95285492785726</v>
      </c>
      <c r="BK29" s="168">
        <v>39.47964383162536</v>
      </c>
      <c r="BL29" s="168">
        <v>72.397603645066255</v>
      </c>
      <c r="BM29" s="168">
        <v>643.64146183546211</v>
      </c>
      <c r="BN29" s="168">
        <v>11.14456424417391</v>
      </c>
      <c r="BO29" s="168">
        <v>86.270979829919554</v>
      </c>
      <c r="BP29" s="55"/>
    </row>
    <row r="30" spans="2:68" ht="22.8" x14ac:dyDescent="0.4">
      <c r="B30" s="62"/>
      <c r="C30" s="185" t="s">
        <v>599</v>
      </c>
      <c r="D30" s="185"/>
      <c r="E30" s="186"/>
      <c r="F30" s="186"/>
      <c r="G30" s="186"/>
      <c r="H30" s="186"/>
      <c r="I30" s="186"/>
      <c r="J30" s="187"/>
      <c r="K30" s="187"/>
      <c r="L30" s="188"/>
      <c r="M30" s="189"/>
      <c r="N30" s="60"/>
      <c r="P30" s="193" t="s">
        <v>116</v>
      </c>
      <c r="Q30" s="74" t="s">
        <v>117</v>
      </c>
      <c r="R30" s="194"/>
      <c r="S30" s="74"/>
      <c r="T30" s="76" t="s">
        <v>156</v>
      </c>
      <c r="U30" s="74" t="s">
        <v>117</v>
      </c>
      <c r="Y30" s="592" t="s">
        <v>72</v>
      </c>
      <c r="Z30" s="593"/>
      <c r="AA30" s="594"/>
      <c r="AB30" s="456">
        <v>1.59083</v>
      </c>
      <c r="AC30" s="456">
        <v>-4.05654</v>
      </c>
      <c r="AD30" s="456">
        <v>3.8819699999999999</v>
      </c>
      <c r="AE30" s="456">
        <v>-1.5798099999999999</v>
      </c>
      <c r="AF30" s="456">
        <v>0.27279100000000001</v>
      </c>
      <c r="AG30" s="456">
        <v>-1.6517899999999999E-2</v>
      </c>
      <c r="AH30" s="456">
        <v>0</v>
      </c>
      <c r="AI30" s="430">
        <f>EXP(AB30+AC30*LN($X$3)+AD30*(LN($X$3))^2+AE30*(LN($X$3))^3+AF30*(LN($X$3))^4+AG30*(LN($X$3))^5+AH30*(LN($X$3))^6)</f>
        <v>1.1861292480784527</v>
      </c>
      <c r="AJ30" s="457">
        <v>2</v>
      </c>
      <c r="AK30" s="457">
        <v>150</v>
      </c>
      <c r="AL30" s="457">
        <v>1.1917</v>
      </c>
      <c r="AM30" s="458">
        <v>0.84499999999999997</v>
      </c>
      <c r="AN30" s="459">
        <f>IF($X$3&gt;AK30,AM30*$X$5,IF($X$3&gt;AJ30,$X$5*AI30,AL30*$X$5))</f>
        <v>11861.292480784527</v>
      </c>
      <c r="AO30" s="54" t="s">
        <v>277</v>
      </c>
      <c r="AP30" s="109"/>
      <c r="AS30" s="166">
        <f>1.6*$BA$16</f>
        <v>160</v>
      </c>
      <c r="AT30" s="166">
        <f>1.6*$BA$16*$J$24</f>
        <v>160</v>
      </c>
      <c r="AU30" s="168">
        <v>7.426542133780444</v>
      </c>
      <c r="AV30" s="168">
        <v>56.95396390131819</v>
      </c>
      <c r="AW30" s="168">
        <v>17.448689144903572</v>
      </c>
      <c r="AX30" s="168">
        <v>225.9417018224444</v>
      </c>
      <c r="AY30" s="168">
        <v>46.160975801582168</v>
      </c>
      <c r="AZ30" s="168">
        <v>50.18005720835405</v>
      </c>
      <c r="BA30" s="168">
        <v>550.08004721971281</v>
      </c>
      <c r="BB30" s="168">
        <v>6.6678515936809708</v>
      </c>
      <c r="BC30" s="168">
        <v>59.682358990812787</v>
      </c>
      <c r="BE30" s="168">
        <f>1.6*$BL$16</f>
        <v>160</v>
      </c>
      <c r="BF30" s="168">
        <v>7.426542133780444</v>
      </c>
      <c r="BG30" s="168">
        <v>160</v>
      </c>
      <c r="BH30" s="168">
        <v>56.95396390131819</v>
      </c>
      <c r="BI30" s="168">
        <v>17.448689144903572</v>
      </c>
      <c r="BJ30" s="168">
        <v>225.9417018224444</v>
      </c>
      <c r="BK30" s="168">
        <v>46.160975801582168</v>
      </c>
      <c r="BL30" s="168">
        <v>50.18005720835405</v>
      </c>
      <c r="BM30" s="168">
        <v>550.08004721971281</v>
      </c>
      <c r="BN30" s="168">
        <v>6.6678515936809708</v>
      </c>
      <c r="BO30" s="168">
        <v>59.682358990812787</v>
      </c>
      <c r="BP30" s="55"/>
    </row>
    <row r="31" spans="2:68" ht="18.75" customHeight="1" x14ac:dyDescent="0.4">
      <c r="B31" s="62"/>
      <c r="C31" s="512" t="s">
        <v>1</v>
      </c>
      <c r="D31" s="512"/>
      <c r="E31" s="512"/>
      <c r="F31" s="512"/>
      <c r="G31" s="512"/>
      <c r="H31" s="192"/>
      <c r="I31" s="512" t="s">
        <v>555</v>
      </c>
      <c r="J31" s="512"/>
      <c r="K31" s="512"/>
      <c r="L31" s="512"/>
      <c r="M31" s="189"/>
      <c r="N31" s="60"/>
      <c r="P31" s="54" t="s">
        <v>147</v>
      </c>
      <c r="Q31" s="199">
        <f>IF(T26="Number of Munitions","N/A",E9)</f>
        <v>10000</v>
      </c>
      <c r="R31" s="200"/>
      <c r="S31" s="199"/>
      <c r="T31" s="85" t="s">
        <v>218</v>
      </c>
      <c r="U31" s="105">
        <v>14.696</v>
      </c>
      <c r="Y31" s="501" t="s">
        <v>73</v>
      </c>
      <c r="Z31" s="502"/>
      <c r="AA31" s="503"/>
      <c r="AB31" s="453">
        <v>-3.2903011000000002</v>
      </c>
      <c r="AC31" s="453">
        <v>1.2843739999999999</v>
      </c>
      <c r="AD31" s="453">
        <v>0.18655921</v>
      </c>
      <c r="AE31" s="453">
        <v>-0.10453453</v>
      </c>
      <c r="AF31" s="453">
        <v>4.6673245999999998E-5</v>
      </c>
      <c r="AG31" s="453">
        <v>1.2143812999999999E-3</v>
      </c>
      <c r="AH31" s="453">
        <v>0</v>
      </c>
      <c r="AI31" s="97">
        <f t="shared" ref="AI31:AI39" si="4">EXP(AB31+AC31*LN($X$3)+AD31*(LN($X$3))^2+AE31*(LN($X$3))^3+AF31*(LN($X$3))^4+AG31*(LN($X$3))^5+AH31*(LN($X$3))^6)</f>
        <v>0.28747507574839276</v>
      </c>
      <c r="AJ31" s="454">
        <v>0.8</v>
      </c>
      <c r="AK31" s="454">
        <v>150</v>
      </c>
      <c r="AL31" s="454">
        <v>2.8000000000000001E-2</v>
      </c>
      <c r="AM31" s="455">
        <v>0.217</v>
      </c>
      <c r="AN31" s="99">
        <f>IF($X$3&gt;AK31,AM31*$X$5,IF($X$3&gt;AJ31,$X$5*AI31,AL31*$X$5))</f>
        <v>2874.7507574839278</v>
      </c>
      <c r="AO31" s="54" t="s">
        <v>277</v>
      </c>
      <c r="AP31" s="109"/>
      <c r="AS31" s="166">
        <f>1.8*$BA$16</f>
        <v>180</v>
      </c>
      <c r="AT31" s="166">
        <f>1.8*$BA$16*$J$24</f>
        <v>180</v>
      </c>
      <c r="AU31" s="168">
        <v>8.3548599005029995</v>
      </c>
      <c r="AV31" s="168">
        <v>69.912959351062</v>
      </c>
      <c r="AW31" s="168">
        <v>13.638267586107959</v>
      </c>
      <c r="AX31" s="168">
        <v>204.63677025062069</v>
      </c>
      <c r="AY31" s="168">
        <v>50.637239275100811</v>
      </c>
      <c r="AZ31" s="168">
        <v>36.988309469969764</v>
      </c>
      <c r="BA31" s="168">
        <v>479.82913273029186</v>
      </c>
      <c r="BB31" s="168">
        <v>4.2493049408578614</v>
      </c>
      <c r="BC31" s="168">
        <v>43.114025456841077</v>
      </c>
      <c r="BE31" s="168">
        <f>1.8*$BL$16</f>
        <v>180</v>
      </c>
      <c r="BF31" s="168">
        <v>8.3548599005029995</v>
      </c>
      <c r="BG31" s="168">
        <v>180</v>
      </c>
      <c r="BH31" s="168">
        <v>69.912959351062</v>
      </c>
      <c r="BI31" s="168">
        <v>13.638267586107959</v>
      </c>
      <c r="BJ31" s="168">
        <v>204.63677025062069</v>
      </c>
      <c r="BK31" s="168">
        <v>50.637239275100811</v>
      </c>
      <c r="BL31" s="168">
        <v>36.988309469969764</v>
      </c>
      <c r="BM31" s="168">
        <v>479.82913273029186</v>
      </c>
      <c r="BN31" s="168">
        <v>4.2493049408578614</v>
      </c>
      <c r="BO31" s="168">
        <v>43.114025456841077</v>
      </c>
      <c r="BP31" s="55"/>
    </row>
    <row r="32" spans="2:68" ht="17.399999999999999" x14ac:dyDescent="0.3">
      <c r="B32" s="62"/>
      <c r="C32" s="196"/>
      <c r="D32" s="196"/>
      <c r="E32" s="509" t="s">
        <v>554</v>
      </c>
      <c r="F32" s="601" t="s">
        <v>613</v>
      </c>
      <c r="G32" s="602"/>
      <c r="H32" s="197"/>
      <c r="I32" s="513" t="s">
        <v>559</v>
      </c>
      <c r="J32" s="511"/>
      <c r="K32" s="511"/>
      <c r="L32" s="511"/>
      <c r="M32" s="198"/>
      <c r="N32" s="155"/>
      <c r="P32" s="54" t="s">
        <v>233</v>
      </c>
      <c r="Q32" s="178" t="str">
        <f>IF(T26="Number of Munitions",E9,"N/A")</f>
        <v>N/A</v>
      </c>
      <c r="R32" s="202"/>
      <c r="S32" s="178"/>
      <c r="Y32" s="501" t="s">
        <v>39</v>
      </c>
      <c r="Z32" s="502"/>
      <c r="AA32" s="503"/>
      <c r="AB32" s="453">
        <v>-2.6874500000000001</v>
      </c>
      <c r="AC32" s="453">
        <v>0.31095899999999999</v>
      </c>
      <c r="AD32" s="453">
        <v>0.36454700000000001</v>
      </c>
      <c r="AE32" s="453">
        <v>1.4998900000000001E-2</v>
      </c>
      <c r="AF32" s="453">
        <v>-7.9375000000000001E-2</v>
      </c>
      <c r="AG32" s="453">
        <v>1.82767E-2</v>
      </c>
      <c r="AH32" s="453">
        <v>-1.2226299999999999E-3</v>
      </c>
      <c r="AI32" s="97">
        <f t="shared" si="4"/>
        <v>0.20234298651552063</v>
      </c>
      <c r="AJ32" s="454">
        <v>1</v>
      </c>
      <c r="AK32" s="454">
        <v>150</v>
      </c>
      <c r="AL32" s="454">
        <v>6.8000000000000005E-2</v>
      </c>
      <c r="AM32" s="455">
        <v>0.26400000000000001</v>
      </c>
      <c r="AN32" s="99">
        <f t="shared" ref="AN32:AN39" si="5">IF($X$3&gt;AK32,AM32*$X$5,IF($X$3&gt;AJ32,$X$5*AI32,AL32*$X$5))</f>
        <v>2023.4298651552062</v>
      </c>
      <c r="AO32" s="54" t="s">
        <v>277</v>
      </c>
      <c r="AP32" s="109"/>
      <c r="AS32" s="166">
        <f>2*$BA$16</f>
        <v>200</v>
      </c>
      <c r="AT32" s="166">
        <f>2*$BA$16*$J$24</f>
        <v>200</v>
      </c>
      <c r="AU32" s="168">
        <v>9.283177667225555</v>
      </c>
      <c r="AV32" s="168">
        <v>83.568346590376336</v>
      </c>
      <c r="AW32" s="168">
        <v>11.042570628873321</v>
      </c>
      <c r="AX32" s="168">
        <v>186.90494621183672</v>
      </c>
      <c r="AY32" s="168">
        <v>54.19950101060892</v>
      </c>
      <c r="AZ32" s="168">
        <v>28.586510488417268</v>
      </c>
      <c r="BA32" s="168">
        <v>425.23287162048939</v>
      </c>
      <c r="BB32" s="168">
        <v>2.852161129914057</v>
      </c>
      <c r="BC32" s="168">
        <v>32.462919743364544</v>
      </c>
      <c r="BE32" s="168">
        <f>2*$BL$16</f>
        <v>200</v>
      </c>
      <c r="BF32" s="168">
        <v>9.283177667225555</v>
      </c>
      <c r="BG32" s="168">
        <v>200</v>
      </c>
      <c r="BH32" s="168">
        <v>83.568346590376336</v>
      </c>
      <c r="BI32" s="168">
        <v>11.042570628873321</v>
      </c>
      <c r="BJ32" s="168">
        <v>186.90494621183672</v>
      </c>
      <c r="BK32" s="168">
        <v>54.19950101060892</v>
      </c>
      <c r="BL32" s="168">
        <v>28.586510488417268</v>
      </c>
      <c r="BM32" s="168">
        <v>425.23287162048939</v>
      </c>
      <c r="BN32" s="168">
        <v>2.852161129914057</v>
      </c>
      <c r="BO32" s="168">
        <v>32.462919743364544</v>
      </c>
      <c r="BP32" s="55"/>
    </row>
    <row r="33" spans="1:68" ht="17.399999999999999" x14ac:dyDescent="0.3">
      <c r="B33" s="62"/>
      <c r="C33" s="196"/>
      <c r="D33" s="196"/>
      <c r="E33" s="510"/>
      <c r="F33" s="603">
        <f>Q67</f>
        <v>0</v>
      </c>
      <c r="G33" s="522"/>
      <c r="H33" s="197"/>
      <c r="J33" s="201"/>
      <c r="K33" s="201"/>
      <c r="L33" s="155"/>
      <c r="M33" s="198"/>
      <c r="N33" s="155"/>
      <c r="P33" s="54" t="s">
        <v>237</v>
      </c>
      <c r="Q33" s="178">
        <f>range</f>
        <v>100</v>
      </c>
      <c r="R33" s="202"/>
      <c r="S33" s="178"/>
      <c r="Y33" s="501" t="s">
        <v>98</v>
      </c>
      <c r="Z33" s="502"/>
      <c r="AA33" s="503"/>
      <c r="AB33" s="453">
        <v>2.6200999999999999</v>
      </c>
      <c r="AC33" s="453">
        <v>-6.4923999999999999</v>
      </c>
      <c r="AD33" s="453">
        <v>5.2697000000000003</v>
      </c>
      <c r="AE33" s="453">
        <v>-1.9352</v>
      </c>
      <c r="AF33" s="453">
        <v>0.32530999999999999</v>
      </c>
      <c r="AG33" s="453">
        <v>-2.0674000000000001E-2</v>
      </c>
      <c r="AH33" s="453">
        <v>0</v>
      </c>
      <c r="AI33" s="97">
        <f t="shared" si="4"/>
        <v>0.74193165552710483</v>
      </c>
      <c r="AJ33" s="454">
        <v>2</v>
      </c>
      <c r="AK33" s="454">
        <v>80</v>
      </c>
      <c r="AL33" s="454">
        <v>1.0920000000000001</v>
      </c>
      <c r="AM33" s="455">
        <v>0.375</v>
      </c>
      <c r="AN33" s="99">
        <f t="shared" si="5"/>
        <v>7419.3165552710479</v>
      </c>
      <c r="AO33" s="54" t="s">
        <v>277</v>
      </c>
      <c r="AP33" s="109"/>
      <c r="AS33" s="166">
        <f>2.25*$BA$16</f>
        <v>225</v>
      </c>
      <c r="AT33" s="166">
        <f>2.25*$BA$16*$J$24</f>
        <v>225</v>
      </c>
      <c r="AU33" s="168">
        <v>10.44357487562875</v>
      </c>
      <c r="AV33" s="168">
        <v>101.41997725858626</v>
      </c>
      <c r="AW33" s="168">
        <v>8.8090636193331253</v>
      </c>
      <c r="AX33" s="168">
        <v>168.55692366481424</v>
      </c>
      <c r="AY33" s="168">
        <v>57.753749845849512</v>
      </c>
      <c r="AZ33" s="168">
        <v>21.799123700402806</v>
      </c>
      <c r="BA33" s="168">
        <v>372.07656012684555</v>
      </c>
      <c r="BB33" s="168">
        <v>1.8397079323248631</v>
      </c>
      <c r="BC33" s="168">
        <v>23.917977239205381</v>
      </c>
      <c r="BE33" s="168">
        <f>2.25*$BL$16</f>
        <v>225</v>
      </c>
      <c r="BF33" s="168">
        <v>10.44357487562875</v>
      </c>
      <c r="BG33" s="168">
        <v>225</v>
      </c>
      <c r="BH33" s="168">
        <v>101.41997725858626</v>
      </c>
      <c r="BI33" s="168">
        <v>8.8090636193331253</v>
      </c>
      <c r="BJ33" s="168">
        <v>168.55692366481424</v>
      </c>
      <c r="BK33" s="168">
        <v>57.753749845849512</v>
      </c>
      <c r="BL33" s="168">
        <v>21.799123700402806</v>
      </c>
      <c r="BM33" s="168">
        <v>372.07656012684555</v>
      </c>
      <c r="BN33" s="168">
        <v>1.8397079323248631</v>
      </c>
      <c r="BO33" s="168">
        <v>23.917977239205381</v>
      </c>
      <c r="BP33" s="55"/>
    </row>
    <row r="34" spans="1:68" ht="18.600000000000001" x14ac:dyDescent="0.3">
      <c r="B34" s="62"/>
      <c r="C34" s="85" t="s">
        <v>607</v>
      </c>
      <c r="D34" s="85"/>
      <c r="E34" s="203">
        <f>Q76</f>
        <v>100</v>
      </c>
      <c r="F34" s="604">
        <f>range</f>
        <v>100</v>
      </c>
      <c r="G34" s="602"/>
      <c r="H34" s="197"/>
      <c r="I34" s="84" t="s">
        <v>65</v>
      </c>
      <c r="J34" s="84"/>
      <c r="K34" s="54"/>
      <c r="M34" s="204"/>
      <c r="N34" s="205"/>
      <c r="P34" s="54" t="s">
        <v>85</v>
      </c>
      <c r="Q34" s="178">
        <f>IF(T27="Altitude (feet)",K11,"N/A")</f>
        <v>0</v>
      </c>
      <c r="R34" s="202"/>
      <c r="S34" s="178"/>
      <c r="U34" s="105"/>
      <c r="Y34" s="501" t="s">
        <v>99</v>
      </c>
      <c r="Z34" s="502"/>
      <c r="AA34" s="503"/>
      <c r="AB34" s="453">
        <v>-5.0749000000000004</v>
      </c>
      <c r="AC34" s="453">
        <v>1.6664000000000001</v>
      </c>
      <c r="AD34" s="453">
        <v>0.87566999999999995</v>
      </c>
      <c r="AE34" s="453">
        <v>-0.43686999999999998</v>
      </c>
      <c r="AF34" s="453">
        <v>4.9110000000000001E-2</v>
      </c>
      <c r="AG34" s="453">
        <v>0</v>
      </c>
      <c r="AH34" s="453">
        <v>0</v>
      </c>
      <c r="AI34" s="97">
        <f t="shared" si="4"/>
        <v>0.17187061085427435</v>
      </c>
      <c r="AJ34" s="454">
        <v>1</v>
      </c>
      <c r="AK34" s="454">
        <v>100</v>
      </c>
      <c r="AL34" s="454">
        <v>6.1999999999999998E-3</v>
      </c>
      <c r="AM34" s="455">
        <v>1.8</v>
      </c>
      <c r="AN34" s="99">
        <f t="shared" si="5"/>
        <v>1718.7061085427436</v>
      </c>
      <c r="AO34" s="54" t="s">
        <v>277</v>
      </c>
      <c r="AP34" s="210"/>
      <c r="AS34" s="166">
        <f>2.5*$BA$16</f>
        <v>250</v>
      </c>
      <c r="AT34" s="166">
        <f>2.5*$BA$16*$J$24</f>
        <v>250</v>
      </c>
      <c r="AU34" s="168">
        <v>11.603972084031945</v>
      </c>
      <c r="AV34" s="168">
        <v>119.95508373825105</v>
      </c>
      <c r="AW34" s="168">
        <v>7.2593159145676545</v>
      </c>
      <c r="AX34" s="168">
        <v>153.43441724031635</v>
      </c>
      <c r="AY34" s="168">
        <v>60.627764042444788</v>
      </c>
      <c r="AZ34" s="168">
        <v>17.360000394677858</v>
      </c>
      <c r="BA34" s="168">
        <v>330.59684090013531</v>
      </c>
      <c r="BB34" s="168">
        <v>1.2532168007342797</v>
      </c>
      <c r="BC34" s="168">
        <v>18.406848570798108</v>
      </c>
      <c r="BE34" s="168">
        <f>2.5*$BL$16</f>
        <v>250</v>
      </c>
      <c r="BF34" s="168">
        <v>11.603972084031945</v>
      </c>
      <c r="BG34" s="168">
        <v>250</v>
      </c>
      <c r="BH34" s="168">
        <v>119.95508373825105</v>
      </c>
      <c r="BI34" s="168">
        <v>7.2593159145676545</v>
      </c>
      <c r="BJ34" s="168">
        <v>153.43441724031635</v>
      </c>
      <c r="BK34" s="168">
        <v>60.627764042444788</v>
      </c>
      <c r="BL34" s="168">
        <v>17.360000394677858</v>
      </c>
      <c r="BM34" s="168">
        <v>330.59684090013531</v>
      </c>
      <c r="BN34" s="168">
        <v>1.2532168007342797</v>
      </c>
      <c r="BO34" s="168">
        <v>18.406848570798108</v>
      </c>
      <c r="BP34" s="55"/>
    </row>
    <row r="35" spans="1:68" x14ac:dyDescent="0.3">
      <c r="B35" s="62"/>
      <c r="C35" s="206"/>
      <c r="D35" s="206"/>
      <c r="E35" s="207"/>
      <c r="F35" s="504"/>
      <c r="G35" s="505"/>
      <c r="H35" s="197"/>
      <c r="I35" s="208" t="s">
        <v>53</v>
      </c>
      <c r="J35" s="208"/>
      <c r="K35" s="431">
        <f>AL125</f>
        <v>1</v>
      </c>
      <c r="M35" s="141"/>
      <c r="N35" s="54"/>
      <c r="P35" s="54" t="s">
        <v>35</v>
      </c>
      <c r="Q35" s="178" t="str">
        <f>IF(T27="Pressure (psi)",K9,"N/A")</f>
        <v>N/A</v>
      </c>
      <c r="R35" s="202"/>
      <c r="S35" s="178"/>
      <c r="Y35" s="501" t="s">
        <v>100</v>
      </c>
      <c r="Z35" s="502"/>
      <c r="AA35" s="503"/>
      <c r="AB35" s="453">
        <v>-3.3517000000000001</v>
      </c>
      <c r="AC35" s="453">
        <v>1.3402000000000001</v>
      </c>
      <c r="AD35" s="453">
        <v>-8.1714999999999996E-2</v>
      </c>
      <c r="AE35" s="453">
        <v>-2.9998E-2</v>
      </c>
      <c r="AF35" s="453">
        <v>0</v>
      </c>
      <c r="AG35" s="453">
        <v>0</v>
      </c>
      <c r="AH35" s="453">
        <v>0</v>
      </c>
      <c r="AI35" s="97">
        <f t="shared" si="4"/>
        <v>0.20281134098757175</v>
      </c>
      <c r="AJ35" s="454">
        <v>0.9</v>
      </c>
      <c r="AK35" s="454">
        <v>100</v>
      </c>
      <c r="AL35" s="454">
        <v>0.03</v>
      </c>
      <c r="AM35" s="455">
        <v>0.158</v>
      </c>
      <c r="AN35" s="99">
        <f t="shared" si="5"/>
        <v>2028.1134098757175</v>
      </c>
      <c r="AO35" s="54" t="s">
        <v>277</v>
      </c>
      <c r="AP35" s="109"/>
      <c r="AS35" s="166">
        <f>2.75*$BA$16</f>
        <v>275</v>
      </c>
      <c r="AT35" s="166">
        <f>2.75*$BA$16*$J$24</f>
        <v>275</v>
      </c>
      <c r="AU35" s="168">
        <v>12.76436929243514</v>
      </c>
      <c r="AV35" s="168">
        <v>139.01949929833879</v>
      </c>
      <c r="AW35" s="168">
        <v>6.1348670259151401</v>
      </c>
      <c r="AX35" s="168">
        <v>140.76913974389475</v>
      </c>
      <c r="AY35" s="168">
        <v>63.045832885902747</v>
      </c>
      <c r="AZ35" s="168">
        <v>14.291018635897879</v>
      </c>
      <c r="BA35" s="168">
        <v>297.35472616017483</v>
      </c>
      <c r="BB35" s="168">
        <v>0.89275364729643192</v>
      </c>
      <c r="BC35" s="168">
        <v>14.649993327122367</v>
      </c>
      <c r="BE35" s="168">
        <f>2.75*$BL$16</f>
        <v>275</v>
      </c>
      <c r="BF35" s="168">
        <v>12.76436929243514</v>
      </c>
      <c r="BG35" s="168">
        <v>275</v>
      </c>
      <c r="BH35" s="168">
        <v>139.01949929833879</v>
      </c>
      <c r="BI35" s="168">
        <v>6.1348670259151401</v>
      </c>
      <c r="BJ35" s="168">
        <v>140.76913974389475</v>
      </c>
      <c r="BK35" s="168">
        <v>63.045832885902747</v>
      </c>
      <c r="BL35" s="168">
        <v>14.291018635897879</v>
      </c>
      <c r="BM35" s="168">
        <v>297.35472616017483</v>
      </c>
      <c r="BN35" s="168">
        <v>0.89275364729643192</v>
      </c>
      <c r="BO35" s="168">
        <v>14.649993327122367</v>
      </c>
      <c r="BP35" s="55"/>
    </row>
    <row r="36" spans="1:68" ht="18.600000000000001" x14ac:dyDescent="0.3">
      <c r="B36" s="62"/>
      <c r="C36" s="54" t="s">
        <v>64</v>
      </c>
      <c r="D36" s="54"/>
      <c r="E36" s="211">
        <f>Q77</f>
        <v>4.6415888336127775</v>
      </c>
      <c r="F36" s="504">
        <f>Q49</f>
        <v>4.6415888336127775</v>
      </c>
      <c r="G36" s="505"/>
      <c r="H36" s="197"/>
      <c r="I36" s="66" t="s">
        <v>25</v>
      </c>
      <c r="J36" s="66"/>
      <c r="K36" s="105"/>
      <c r="M36" s="198"/>
      <c r="N36" s="155"/>
      <c r="P36" s="54" t="s">
        <v>119</v>
      </c>
      <c r="Q36" s="212">
        <f>I9</f>
        <v>59</v>
      </c>
      <c r="R36" s="213"/>
      <c r="S36" s="178"/>
      <c r="Y36" s="501" t="s">
        <v>585</v>
      </c>
      <c r="Z36" s="502"/>
      <c r="AA36" s="503"/>
      <c r="AB36" s="453">
        <v>-3.8389000000000002</v>
      </c>
      <c r="AC36" s="453">
        <v>1.8713</v>
      </c>
      <c r="AD36" s="453">
        <v>-2.9815999999999999E-2</v>
      </c>
      <c r="AE36" s="453">
        <v>-0.1492</v>
      </c>
      <c r="AF36" s="453">
        <v>2.6556E-2</v>
      </c>
      <c r="AG36" s="453">
        <v>-9.8525000000000001E-4</v>
      </c>
      <c r="AH36" s="453">
        <v>0</v>
      </c>
      <c r="AI36" s="97">
        <f t="shared" si="4"/>
        <v>0.23758341502965619</v>
      </c>
      <c r="AJ36" s="454">
        <v>1.6</v>
      </c>
      <c r="AK36" s="454">
        <v>148</v>
      </c>
      <c r="AL36" s="454">
        <v>0.05</v>
      </c>
      <c r="AM36" s="455">
        <v>0.68799999999999994</v>
      </c>
      <c r="AN36" s="99">
        <f t="shared" si="5"/>
        <v>2375.8341502965618</v>
      </c>
      <c r="AO36" s="54" t="s">
        <v>277</v>
      </c>
      <c r="AP36" s="109"/>
      <c r="AS36" s="166">
        <f>3*$BA$16</f>
        <v>300</v>
      </c>
      <c r="AT36" s="166">
        <f>3*$BA$16*$J$24</f>
        <v>300</v>
      </c>
      <c r="AU36" s="168">
        <v>13.924766500838333</v>
      </c>
      <c r="AV36" s="168">
        <v>158.49589207292195</v>
      </c>
      <c r="AW36" s="168">
        <v>5.2893348658339727</v>
      </c>
      <c r="AX36" s="168">
        <v>130.01536584861717</v>
      </c>
      <c r="AY36" s="168">
        <v>65.151458548372631</v>
      </c>
      <c r="AZ36" s="168">
        <v>12.072832260705828</v>
      </c>
      <c r="BA36" s="168">
        <v>270.13366024153299</v>
      </c>
      <c r="BB36" s="168">
        <v>0.66003554245371943</v>
      </c>
      <c r="BC36" s="168">
        <v>11.967361758288149</v>
      </c>
      <c r="BE36" s="168">
        <f>3*$BL$16</f>
        <v>300</v>
      </c>
      <c r="BF36" s="168">
        <v>13.924766500838333</v>
      </c>
      <c r="BG36" s="168">
        <v>300</v>
      </c>
      <c r="BH36" s="168">
        <v>158.49589207292195</v>
      </c>
      <c r="BI36" s="168">
        <v>5.2893348658339727</v>
      </c>
      <c r="BJ36" s="168">
        <v>130.01536584861717</v>
      </c>
      <c r="BK36" s="168">
        <v>65.151458548372631</v>
      </c>
      <c r="BL36" s="168">
        <v>12.072832260705828</v>
      </c>
      <c r="BM36" s="168">
        <v>270.13366024153299</v>
      </c>
      <c r="BN36" s="168">
        <v>0.66003554245371943</v>
      </c>
      <c r="BO36" s="168">
        <v>11.967361758288149</v>
      </c>
    </row>
    <row r="37" spans="1:68" x14ac:dyDescent="0.3">
      <c r="B37" s="62"/>
      <c r="C37" s="206"/>
      <c r="D37" s="206"/>
      <c r="E37" s="207"/>
      <c r="F37" s="504"/>
      <c r="G37" s="505"/>
      <c r="H37" s="197"/>
      <c r="K37" s="209"/>
      <c r="M37" s="141"/>
      <c r="N37" s="54"/>
      <c r="P37" s="54" t="s">
        <v>122</v>
      </c>
      <c r="Q37" s="363" t="str">
        <f>IF(T25="Based on Munition Type Selected",VLOOKUP(T24,'Munition Data'!A:D,4,FALSE),T25)</f>
        <v>TNT</v>
      </c>
      <c r="R37" s="202"/>
      <c r="S37" s="212"/>
      <c r="Y37" s="501" t="s">
        <v>586</v>
      </c>
      <c r="Z37" s="502"/>
      <c r="AA37" s="503"/>
      <c r="AB37" s="453">
        <v>-3.0045890000000002</v>
      </c>
      <c r="AC37" s="453">
        <v>-0.46355350000000001</v>
      </c>
      <c r="AD37" s="453">
        <v>3.2070720000000001</v>
      </c>
      <c r="AE37" s="453">
        <v>-1.8834930000000001</v>
      </c>
      <c r="AF37" s="453">
        <v>0.42157139999999999</v>
      </c>
      <c r="AG37" s="453">
        <v>-3.2978849999999997E-2</v>
      </c>
      <c r="AH37" s="453">
        <v>0</v>
      </c>
      <c r="AI37" s="97">
        <f t="shared" si="4"/>
        <v>0.40160571833740921</v>
      </c>
      <c r="AJ37" s="454">
        <v>1.8</v>
      </c>
      <c r="AK37" s="454">
        <v>148</v>
      </c>
      <c r="AL37" s="454">
        <v>8.1000000000000003E-2</v>
      </c>
      <c r="AM37" s="455">
        <v>0.81599999999999995</v>
      </c>
      <c r="AN37" s="99">
        <f t="shared" si="5"/>
        <v>4016.0571833740923</v>
      </c>
      <c r="AO37" s="54" t="s">
        <v>277</v>
      </c>
      <c r="AP37" s="109"/>
      <c r="AS37" s="166">
        <f>3.5*$BA$16</f>
        <v>350</v>
      </c>
      <c r="AT37" s="166">
        <f>3.5*$BA$16*$J$24</f>
        <v>350</v>
      </c>
      <c r="AU37" s="168">
        <v>16.24556091764472</v>
      </c>
      <c r="AV37" s="168">
        <v>198.34901903526514</v>
      </c>
      <c r="AW37" s="168">
        <v>4.1155060878187459</v>
      </c>
      <c r="AX37" s="168">
        <v>112.75506177957899</v>
      </c>
      <c r="AY37" s="168">
        <v>68.763256476524901</v>
      </c>
      <c r="AZ37" s="168">
        <v>9.1268406400486715</v>
      </c>
      <c r="BA37" s="168">
        <v>228.24373280872115</v>
      </c>
      <c r="BB37" s="168">
        <v>0.39427410914137095</v>
      </c>
      <c r="BC37" s="168">
        <v>8.4539243132313704</v>
      </c>
      <c r="BE37" s="168">
        <f>3.5*$BL$16</f>
        <v>350</v>
      </c>
      <c r="BF37" s="168">
        <v>16.24556091764472</v>
      </c>
      <c r="BG37" s="168">
        <v>350</v>
      </c>
      <c r="BH37" s="168">
        <v>198.34901903526514</v>
      </c>
      <c r="BI37" s="168">
        <v>4.1155060878187459</v>
      </c>
      <c r="BJ37" s="168">
        <v>112.75506177957899</v>
      </c>
      <c r="BK37" s="168">
        <v>68.763256476524901</v>
      </c>
      <c r="BL37" s="168">
        <v>9.1268406400486715</v>
      </c>
      <c r="BM37" s="168">
        <v>228.24373280872115</v>
      </c>
      <c r="BN37" s="168">
        <v>0.39427410914137095</v>
      </c>
      <c r="BO37" s="168">
        <v>8.4539243132313704</v>
      </c>
    </row>
    <row r="38" spans="1:68" s="54" customFormat="1" ht="19.8" x14ac:dyDescent="0.4">
      <c r="A38" s="53"/>
      <c r="B38" s="62"/>
      <c r="C38" s="54" t="s">
        <v>238</v>
      </c>
      <c r="E38" s="211">
        <f>Q82</f>
        <v>24.026772636793208</v>
      </c>
      <c r="F38" s="504">
        <f>U49</f>
        <v>24.026772636793208</v>
      </c>
      <c r="G38" s="505"/>
      <c r="H38" s="197"/>
      <c r="I38" s="66" t="s">
        <v>67</v>
      </c>
      <c r="J38" s="66"/>
      <c r="K38" s="105"/>
      <c r="L38" s="53"/>
      <c r="M38" s="141"/>
      <c r="P38" s="85" t="s">
        <v>160</v>
      </c>
      <c r="Q38" s="178">
        <f>IF($T$25="Other - User Defined",D15,VLOOKUP(Q37,'Explosive Data'!A:E,3,FALSE))</f>
        <v>1</v>
      </c>
      <c r="R38" s="202"/>
      <c r="S38" s="178"/>
      <c r="Y38" s="501" t="s">
        <v>587</v>
      </c>
      <c r="Z38" s="502"/>
      <c r="AA38" s="503"/>
      <c r="AB38" s="453">
        <v>-4.0618340000000002</v>
      </c>
      <c r="AC38" s="453">
        <v>5.21774</v>
      </c>
      <c r="AD38" s="453">
        <v>-1.5736570000000001</v>
      </c>
      <c r="AE38" s="453">
        <v>-0.26733119999999999</v>
      </c>
      <c r="AF38" s="453">
        <v>0.1778508</v>
      </c>
      <c r="AG38" s="453">
        <v>-2.0034840000000002E-2</v>
      </c>
      <c r="AH38" s="453">
        <v>0</v>
      </c>
      <c r="AI38" s="97">
        <f t="shared" si="4"/>
        <v>1.0934146552641615</v>
      </c>
      <c r="AJ38" s="454">
        <v>1.7</v>
      </c>
      <c r="AK38" s="454">
        <v>133</v>
      </c>
      <c r="AL38" s="454">
        <v>8.1000000000000003E-2</v>
      </c>
      <c r="AM38" s="455">
        <v>0.19500000000000001</v>
      </c>
      <c r="AN38" s="99">
        <f t="shared" si="5"/>
        <v>10934.146552641614</v>
      </c>
      <c r="AO38" s="54" t="s">
        <v>277</v>
      </c>
      <c r="AP38" s="109"/>
      <c r="AR38" s="53"/>
      <c r="AS38" s="166">
        <f>4*$BA$16</f>
        <v>400</v>
      </c>
      <c r="AT38" s="166">
        <f>4*$BA$16*$J$24</f>
        <v>400</v>
      </c>
      <c r="AU38" s="168">
        <v>18.56635533445111</v>
      </c>
      <c r="AV38" s="168">
        <v>239.02718821426924</v>
      </c>
      <c r="AW38" s="168">
        <v>3.3489468532787354</v>
      </c>
      <c r="AX38" s="168">
        <v>99.524758717244453</v>
      </c>
      <c r="AY38" s="168">
        <v>71.883224294962673</v>
      </c>
      <c r="AZ38" s="168">
        <v>7.2886403713391674</v>
      </c>
      <c r="BA38" s="168">
        <v>197.53773472765295</v>
      </c>
      <c r="BB38" s="168">
        <v>0.25797269735597311</v>
      </c>
      <c r="BC38" s="168">
        <v>6.2988008537265046</v>
      </c>
      <c r="BD38" s="53"/>
      <c r="BE38" s="168">
        <f>4*$BL$16</f>
        <v>400</v>
      </c>
      <c r="BF38" s="168">
        <v>18.56635533445111</v>
      </c>
      <c r="BG38" s="168">
        <v>400</v>
      </c>
      <c r="BH38" s="168">
        <v>239.02718821426924</v>
      </c>
      <c r="BI38" s="168">
        <v>3.3489468532787354</v>
      </c>
      <c r="BJ38" s="168">
        <v>99.524758717244453</v>
      </c>
      <c r="BK38" s="168">
        <v>71.883224294962673</v>
      </c>
      <c r="BL38" s="168">
        <v>7.2886403713391674</v>
      </c>
      <c r="BM38" s="168">
        <v>197.53773472765295</v>
      </c>
      <c r="BN38" s="168">
        <v>0.25797269735597311</v>
      </c>
      <c r="BO38" s="168">
        <v>6.2988008537265046</v>
      </c>
      <c r="BP38" s="109"/>
    </row>
    <row r="39" spans="1:68" ht="18" x14ac:dyDescent="0.4">
      <c r="B39" s="62"/>
      <c r="C39" s="54"/>
      <c r="D39" s="54"/>
      <c r="E39" s="216"/>
      <c r="F39" s="504"/>
      <c r="G39" s="505"/>
      <c r="H39" s="197"/>
      <c r="I39" s="217" t="s">
        <v>54</v>
      </c>
      <c r="J39" s="217"/>
      <c r="K39" s="431">
        <f>AL133</f>
        <v>1</v>
      </c>
      <c r="L39" s="54"/>
      <c r="M39" s="141"/>
      <c r="N39" s="54"/>
      <c r="P39" s="85" t="s">
        <v>161</v>
      </c>
      <c r="Q39" s="178">
        <f>IF($T$25="Other - User Defined",D16,VLOOKUP(Q37,'Explosive Data'!A:E,4,FALSE))</f>
        <v>1</v>
      </c>
      <c r="S39" s="178"/>
      <c r="Y39" s="358" t="s">
        <v>584</v>
      </c>
      <c r="Z39" s="359"/>
      <c r="AA39" s="360"/>
      <c r="AB39" s="453">
        <v>-3.648774</v>
      </c>
      <c r="AC39" s="453">
        <v>1.859529</v>
      </c>
      <c r="AD39" s="453">
        <v>-0.1158725</v>
      </c>
      <c r="AE39" s="453">
        <v>-0.15376889999999999</v>
      </c>
      <c r="AF39" s="453">
        <v>4.7599679999999998E-2</v>
      </c>
      <c r="AG39" s="453">
        <v>-4.4368719999999997E-3</v>
      </c>
      <c r="AH39" s="453">
        <v>0</v>
      </c>
      <c r="AI39" s="97">
        <f t="shared" si="4"/>
        <v>0.24732241851692505</v>
      </c>
      <c r="AJ39" s="454">
        <v>3.25</v>
      </c>
      <c r="AK39" s="454">
        <v>148</v>
      </c>
      <c r="AL39" s="454">
        <v>0.16500000000000001</v>
      </c>
      <c r="AM39" s="455">
        <v>0.62</v>
      </c>
      <c r="AN39" s="99">
        <f t="shared" si="5"/>
        <v>2473.2241851692506</v>
      </c>
      <c r="AO39" s="54" t="s">
        <v>277</v>
      </c>
      <c r="AP39" s="109"/>
      <c r="AS39" s="166">
        <f>4.5*$BA$16</f>
        <v>450</v>
      </c>
      <c r="AT39" s="166">
        <f>4.5*$BA$16*$J$24</f>
        <v>450</v>
      </c>
      <c r="AU39" s="168">
        <v>20.8871497512575</v>
      </c>
      <c r="AV39" s="168">
        <v>280.24783458308133</v>
      </c>
      <c r="AW39" s="168">
        <v>2.8141282881626295</v>
      </c>
      <c r="AX39" s="168">
        <v>89.068785392194954</v>
      </c>
      <c r="AY39" s="168">
        <v>74.698718011261363</v>
      </c>
      <c r="AZ39" s="168">
        <v>6.0457985400964089</v>
      </c>
      <c r="BA39" s="168">
        <v>174.0757342109527</v>
      </c>
      <c r="BB39" s="168">
        <v>0.18064363406199482</v>
      </c>
      <c r="BC39" s="168">
        <v>4.8690194124670159</v>
      </c>
      <c r="BE39" s="168">
        <f>4.5*$BL$16</f>
        <v>450</v>
      </c>
      <c r="BF39" s="168">
        <v>20.8871497512575</v>
      </c>
      <c r="BG39" s="168">
        <v>450</v>
      </c>
      <c r="BH39" s="168">
        <v>280.24783458308133</v>
      </c>
      <c r="BI39" s="168">
        <v>2.8141282881626295</v>
      </c>
      <c r="BJ39" s="168">
        <v>89.068785392194954</v>
      </c>
      <c r="BK39" s="168">
        <v>74.698718011261363</v>
      </c>
      <c r="BL39" s="168">
        <v>6.0457985400964089</v>
      </c>
      <c r="BM39" s="168">
        <v>174.0757342109527</v>
      </c>
      <c r="BN39" s="168">
        <v>0.18064363406199482</v>
      </c>
      <c r="BO39" s="168">
        <v>4.8690194124670159</v>
      </c>
    </row>
    <row r="40" spans="1:68" x14ac:dyDescent="0.3">
      <c r="B40" s="62"/>
      <c r="C40" s="54" t="s">
        <v>287</v>
      </c>
      <c r="D40" s="54"/>
      <c r="E40" s="211">
        <f>Psos</f>
        <v>49.817025286380328</v>
      </c>
      <c r="F40" s="504">
        <f>U50</f>
        <v>49.817025286380328</v>
      </c>
      <c r="G40" s="505"/>
      <c r="H40" s="197"/>
      <c r="I40" s="66" t="s">
        <v>25</v>
      </c>
      <c r="J40" s="66"/>
      <c r="K40" s="432"/>
      <c r="M40" s="141"/>
      <c r="N40" s="54"/>
      <c r="P40" s="54" t="s">
        <v>155</v>
      </c>
      <c r="Q40" s="178">
        <f>IF(T26="Total NEW (lbs)",1,E9)</f>
        <v>1</v>
      </c>
      <c r="Y40" s="358"/>
      <c r="Z40" s="359"/>
      <c r="AA40" s="360"/>
      <c r="AB40" s="102"/>
      <c r="AC40" s="103"/>
      <c r="AD40" s="103"/>
      <c r="AE40" s="103"/>
      <c r="AF40" s="103"/>
      <c r="AG40" s="103"/>
      <c r="AH40" s="104"/>
      <c r="AI40" s="97"/>
      <c r="AJ40" s="92"/>
      <c r="AK40" s="92"/>
      <c r="AL40" s="92"/>
      <c r="AM40" s="452"/>
      <c r="AN40" s="129"/>
      <c r="AP40" s="109"/>
      <c r="AS40" s="166">
        <f>5*$BA$16</f>
        <v>500</v>
      </c>
      <c r="AT40" s="166">
        <f>5*$BA$16*$J$24</f>
        <v>500</v>
      </c>
      <c r="AU40" s="168">
        <v>23.207944168063889</v>
      </c>
      <c r="AV40" s="168">
        <v>321.84701923748815</v>
      </c>
      <c r="AW40" s="168">
        <v>2.4219291664575961</v>
      </c>
      <c r="AX40" s="168">
        <v>80.601008114116269</v>
      </c>
      <c r="AY40" s="168">
        <v>77.298220073375902</v>
      </c>
      <c r="AZ40" s="168">
        <v>5.1542108739231098</v>
      </c>
      <c r="BA40" s="168">
        <v>155.56924419995394</v>
      </c>
      <c r="BB40" s="168">
        <v>0.13321967592128056</v>
      </c>
      <c r="BC40" s="168">
        <v>3.8679130551545975</v>
      </c>
      <c r="BE40" s="168">
        <f>5*$BL$16</f>
        <v>500</v>
      </c>
      <c r="BF40" s="168">
        <v>23.207944168063889</v>
      </c>
      <c r="BG40" s="168">
        <v>500</v>
      </c>
      <c r="BH40" s="168">
        <v>321.84701923748815</v>
      </c>
      <c r="BI40" s="168">
        <v>2.4219291664575961</v>
      </c>
      <c r="BJ40" s="168">
        <v>80.601008114116269</v>
      </c>
      <c r="BK40" s="168">
        <v>77.298220073375902</v>
      </c>
      <c r="BL40" s="168">
        <v>5.1542108739231098</v>
      </c>
      <c r="BM40" s="168">
        <v>155.56924419995394</v>
      </c>
      <c r="BN40" s="168">
        <v>0.13321967592128056</v>
      </c>
      <c r="BO40" s="168">
        <v>3.8679130551545975</v>
      </c>
    </row>
    <row r="41" spans="1:68" ht="16.2" thickBot="1" x14ac:dyDescent="0.35">
      <c r="B41" s="62"/>
      <c r="C41" s="54" t="s">
        <v>288</v>
      </c>
      <c r="D41" s="54"/>
      <c r="E41" s="211">
        <f>Q84</f>
        <v>204.69715582078172</v>
      </c>
      <c r="F41" s="504">
        <f>U51</f>
        <v>204.69715582078172</v>
      </c>
      <c r="G41" s="505"/>
      <c r="H41" s="197"/>
      <c r="K41" s="431"/>
      <c r="M41" s="141"/>
      <c r="N41" s="54"/>
      <c r="P41" s="54" t="s">
        <v>234</v>
      </c>
      <c r="Q41" s="178">
        <f>VLOOKUP(T24,'Munition Data'!A:B,2,FALSE)</f>
        <v>1</v>
      </c>
      <c r="Y41" s="498"/>
      <c r="Z41" s="499"/>
      <c r="AA41" s="500"/>
      <c r="AB41" s="171"/>
      <c r="AC41" s="172"/>
      <c r="AD41" s="172"/>
      <c r="AE41" s="172"/>
      <c r="AF41" s="172"/>
      <c r="AG41" s="172"/>
      <c r="AH41" s="173"/>
      <c r="AI41" s="174"/>
      <c r="AJ41" s="81"/>
      <c r="AK41" s="81"/>
      <c r="AL41" s="81"/>
      <c r="AM41" s="214"/>
      <c r="AN41" s="215"/>
      <c r="AP41" s="109"/>
      <c r="AS41" s="166">
        <f>5.5*$BA$16</f>
        <v>550</v>
      </c>
      <c r="AT41" s="166">
        <f>5.5*$BA$16*$J$24</f>
        <v>550</v>
      </c>
      <c r="AU41" s="168">
        <v>25.528738584870279</v>
      </c>
      <c r="AV41" s="168">
        <v>363.72991130201814</v>
      </c>
      <c r="AW41" s="168">
        <v>2.122942526143627</v>
      </c>
      <c r="AX41" s="168">
        <v>73.605162195429401</v>
      </c>
      <c r="AY41" s="168">
        <v>79.726251168206389</v>
      </c>
      <c r="AZ41" s="168">
        <v>4.4851083278038306</v>
      </c>
      <c r="BA41" s="168">
        <v>140.59981139898522</v>
      </c>
      <c r="BB41" s="168">
        <v>0.10228616578036251</v>
      </c>
      <c r="BC41" s="168">
        <v>3.1393712376100074</v>
      </c>
      <c r="BE41" s="168">
        <f>5.5*$BL$16</f>
        <v>550</v>
      </c>
      <c r="BF41" s="168">
        <v>25.528738584870279</v>
      </c>
      <c r="BG41" s="168">
        <v>550</v>
      </c>
      <c r="BH41" s="168">
        <v>363.72991130201814</v>
      </c>
      <c r="BI41" s="168">
        <v>2.122942526143627</v>
      </c>
      <c r="BJ41" s="168">
        <v>73.605162195429401</v>
      </c>
      <c r="BK41" s="168">
        <v>79.726251168206389</v>
      </c>
      <c r="BL41" s="168">
        <v>4.4851083278038306</v>
      </c>
      <c r="BM41" s="168">
        <v>140.59981139898522</v>
      </c>
      <c r="BN41" s="168">
        <v>0.10228616578036251</v>
      </c>
      <c r="BO41" s="168">
        <v>3.1393712376100074</v>
      </c>
    </row>
    <row r="42" spans="1:68" ht="19.2" thickBot="1" x14ac:dyDescent="0.35">
      <c r="A42" s="54"/>
      <c r="B42" s="62"/>
      <c r="C42" s="54"/>
      <c r="D42" s="54"/>
      <c r="E42" s="211"/>
      <c r="F42" s="504"/>
      <c r="G42" s="505"/>
      <c r="H42" s="197"/>
      <c r="I42" s="66" t="s">
        <v>69</v>
      </c>
      <c r="J42" s="66"/>
      <c r="K42" s="431"/>
      <c r="M42" s="141"/>
      <c r="N42" s="54"/>
      <c r="Y42" s="635" t="s">
        <v>145</v>
      </c>
      <c r="Z42" s="636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7"/>
      <c r="AO42" s="191"/>
      <c r="AS42" s="166">
        <f>6*$BA$16</f>
        <v>600</v>
      </c>
      <c r="AT42" s="166">
        <f>6*$BA$16*$J$24</f>
        <v>600</v>
      </c>
      <c r="AU42" s="168">
        <v>27.849533001676665</v>
      </c>
      <c r="AV42" s="168">
        <v>405.84200534116206</v>
      </c>
      <c r="AW42" s="168">
        <v>1.8878451756614216</v>
      </c>
      <c r="AX42" s="168">
        <v>67.728691676530843</v>
      </c>
      <c r="AY42" s="168">
        <v>82.007090834189739</v>
      </c>
      <c r="AZ42" s="168">
        <v>3.9649879359279283</v>
      </c>
      <c r="BA42" s="168">
        <v>128.24221963496174</v>
      </c>
      <c r="BB42" s="168">
        <v>8.1076762688871651E-2</v>
      </c>
      <c r="BC42" s="168">
        <v>2.5935917694875434</v>
      </c>
      <c r="BE42" s="168">
        <f>6*$BL$16</f>
        <v>600</v>
      </c>
      <c r="BF42" s="168">
        <v>27.849533001676665</v>
      </c>
      <c r="BG42" s="168">
        <v>600</v>
      </c>
      <c r="BH42" s="168">
        <v>405.84200534116206</v>
      </c>
      <c r="BI42" s="168">
        <v>1.8878451756614216</v>
      </c>
      <c r="BJ42" s="168">
        <v>67.728691676530843</v>
      </c>
      <c r="BK42" s="168">
        <v>82.007090834189739</v>
      </c>
      <c r="BL42" s="168">
        <v>3.9649879359279283</v>
      </c>
      <c r="BM42" s="168">
        <v>128.24221963496174</v>
      </c>
      <c r="BN42" s="168">
        <v>8.1076762688871651E-2</v>
      </c>
      <c r="BO42" s="168">
        <v>2.5935917694875434</v>
      </c>
    </row>
    <row r="43" spans="1:68" x14ac:dyDescent="0.3">
      <c r="B43" s="62"/>
      <c r="C43" s="54" t="s">
        <v>239</v>
      </c>
      <c r="D43" s="54"/>
      <c r="E43" s="211">
        <f>Q85</f>
        <v>196.98158491170912</v>
      </c>
      <c r="F43" s="504">
        <f>U52</f>
        <v>196.98158491170912</v>
      </c>
      <c r="G43" s="505"/>
      <c r="H43" s="197"/>
      <c r="I43" s="217" t="s">
        <v>52</v>
      </c>
      <c r="J43" s="217"/>
      <c r="K43" s="431">
        <f>AL142</f>
        <v>1</v>
      </c>
      <c r="M43" s="141"/>
      <c r="N43" s="54"/>
      <c r="Y43" s="501" t="s">
        <v>72</v>
      </c>
      <c r="Z43" s="502"/>
      <c r="AA43" s="503"/>
      <c r="AB43" s="457">
        <v>-1.0332600000000001</v>
      </c>
      <c r="AC43" s="457">
        <v>1.6455</v>
      </c>
      <c r="AD43" s="457">
        <v>-0.54722000000000004</v>
      </c>
      <c r="AE43" s="457">
        <v>-8.5225400000000007E-2</v>
      </c>
      <c r="AF43" s="457">
        <v>5.38603E-2</v>
      </c>
      <c r="AG43" s="457">
        <v>-5.41349E-3</v>
      </c>
      <c r="AH43" s="460">
        <v>0</v>
      </c>
      <c r="AI43" s="97">
        <f t="shared" ref="AI43:AI52" si="6">EXP(AB43+AC43*LN($X$3)+AD43*(LN($X$3))^2+AE43*(LN($X$3))^3+AF43*(LN($X$3))^4+AG43*(LN($X$3))^5+AH43*(LN($X$3))^6)</f>
        <v>1.1593419138885335</v>
      </c>
      <c r="AJ43" s="457">
        <v>2.6</v>
      </c>
      <c r="AK43" s="457">
        <v>150</v>
      </c>
      <c r="AL43" s="457">
        <v>1</v>
      </c>
      <c r="AM43" s="457">
        <v>0.72299999999999998</v>
      </c>
      <c r="AN43" s="99">
        <f t="shared" ref="AN43:AN51" si="7">IF($X$3&gt;AK43,AM43*$X$5,IF($X$3&gt;AJ43,$X$5*AI43,AL43*$X$5))</f>
        <v>11593.419138885334</v>
      </c>
      <c r="AO43" s="54" t="s">
        <v>278</v>
      </c>
      <c r="AP43" s="109"/>
      <c r="AS43" s="166">
        <f>6.5*$BA$16</f>
        <v>650</v>
      </c>
      <c r="AT43" s="166">
        <f>6.5*$BA$16*$J$24</f>
        <v>650</v>
      </c>
      <c r="AU43" s="168">
        <v>30.170327418483055</v>
      </c>
      <c r="AV43" s="168">
        <v>448.15218437155431</v>
      </c>
      <c r="AW43" s="168">
        <v>1.6982597810969631</v>
      </c>
      <c r="AX43" s="168">
        <v>62.722874038894652</v>
      </c>
      <c r="AY43" s="168">
        <v>84.155495512239682</v>
      </c>
      <c r="AZ43" s="168">
        <v>3.5491761300696001</v>
      </c>
      <c r="BA43" s="168">
        <v>117.86760688527671</v>
      </c>
      <c r="BB43" s="168">
        <v>6.5924416172408046E-2</v>
      </c>
      <c r="BC43" s="168">
        <v>2.1752806074830615</v>
      </c>
      <c r="BE43" s="168">
        <f>6.5*$BL$16</f>
        <v>650</v>
      </c>
      <c r="BF43" s="168">
        <v>30.170327418483055</v>
      </c>
      <c r="BG43" s="168">
        <v>650</v>
      </c>
      <c r="BH43" s="168">
        <v>448.15218437155431</v>
      </c>
      <c r="BI43" s="168">
        <v>1.6982597810969631</v>
      </c>
      <c r="BJ43" s="168">
        <v>62.722874038894652</v>
      </c>
      <c r="BK43" s="168">
        <v>84.155495512239682</v>
      </c>
      <c r="BL43" s="168">
        <v>3.5491761300696001</v>
      </c>
      <c r="BM43" s="168">
        <v>117.86760688527671</v>
      </c>
      <c r="BN43" s="168">
        <v>6.5924416172408046E-2</v>
      </c>
      <c r="BO43" s="168">
        <v>2.1752806074830615</v>
      </c>
    </row>
    <row r="44" spans="1:68" x14ac:dyDescent="0.3">
      <c r="B44" s="62"/>
      <c r="C44" s="54"/>
      <c r="D44" s="54"/>
      <c r="E44" s="211"/>
      <c r="F44" s="504"/>
      <c r="G44" s="505"/>
      <c r="H44" s="197"/>
      <c r="I44" s="66" t="s">
        <v>25</v>
      </c>
      <c r="J44" s="66"/>
      <c r="K44" s="432"/>
      <c r="M44" s="141"/>
      <c r="N44" s="54"/>
      <c r="Y44" s="501" t="s">
        <v>73</v>
      </c>
      <c r="Z44" s="502"/>
      <c r="AA44" s="503"/>
      <c r="AB44" s="454">
        <v>-1.3395250000000001</v>
      </c>
      <c r="AC44" s="454">
        <v>-2.0074670000000001</v>
      </c>
      <c r="AD44" s="454">
        <v>2.9176069999999998</v>
      </c>
      <c r="AE44" s="454">
        <v>-1.2997730000000001</v>
      </c>
      <c r="AF44" s="454">
        <v>0.25702269999999999</v>
      </c>
      <c r="AG44" s="454">
        <v>-2.2534209999999999E-2</v>
      </c>
      <c r="AH44" s="454">
        <v>6.3492810000000002E-4</v>
      </c>
      <c r="AI44" s="97">
        <f t="shared" si="6"/>
        <v>0.36633125097465347</v>
      </c>
      <c r="AJ44" s="454">
        <v>1</v>
      </c>
      <c r="AK44" s="454">
        <v>150</v>
      </c>
      <c r="AL44" s="454">
        <v>0.26200000000000001</v>
      </c>
      <c r="AM44" s="454">
        <v>0.29099999999999998</v>
      </c>
      <c r="AN44" s="99">
        <f t="shared" si="7"/>
        <v>3663.3125097465345</v>
      </c>
      <c r="AO44" s="54" t="s">
        <v>278</v>
      </c>
      <c r="AP44" s="109"/>
      <c r="AR44" s="54"/>
      <c r="AS44" s="166">
        <f>7*$BA$16</f>
        <v>700</v>
      </c>
      <c r="AT44" s="166">
        <f>7*$BA$16*$J$24</f>
        <v>700</v>
      </c>
      <c r="AU44" s="168">
        <v>32.491121835289441</v>
      </c>
      <c r="AV44" s="168">
        <v>490.64264525541046</v>
      </c>
      <c r="AW44" s="168">
        <v>1.5421450792866231</v>
      </c>
      <c r="AX44" s="168">
        <v>58.407349751886137</v>
      </c>
      <c r="AY44" s="168">
        <v>86.181706298697293</v>
      </c>
      <c r="AZ44" s="168">
        <v>3.2090992112443248</v>
      </c>
      <c r="BA44" s="168">
        <v>109.03378289804357</v>
      </c>
      <c r="BB44" s="168">
        <v>5.4720707146234303E-2</v>
      </c>
      <c r="BC44" s="168">
        <v>1.8485805754731097</v>
      </c>
      <c r="BE44" s="168">
        <f>7*$BL$16</f>
        <v>700</v>
      </c>
      <c r="BF44" s="168">
        <v>32.491121835289441</v>
      </c>
      <c r="BG44" s="168">
        <v>700</v>
      </c>
      <c r="BH44" s="168">
        <v>490.64264525541046</v>
      </c>
      <c r="BI44" s="168">
        <v>1.5421450792866231</v>
      </c>
      <c r="BJ44" s="168">
        <v>58.407349751886137</v>
      </c>
      <c r="BK44" s="168">
        <v>86.181706298697293</v>
      </c>
      <c r="BL44" s="168">
        <v>3.2090992112443248</v>
      </c>
      <c r="BM44" s="168">
        <v>109.03378289804357</v>
      </c>
      <c r="BN44" s="168">
        <v>5.4720707146234303E-2</v>
      </c>
      <c r="BO44" s="168">
        <v>1.8485805754731097</v>
      </c>
    </row>
    <row r="45" spans="1:68" x14ac:dyDescent="0.3">
      <c r="B45" s="62"/>
      <c r="C45" s="54" t="s">
        <v>20</v>
      </c>
      <c r="D45" s="54"/>
      <c r="E45" s="211">
        <f>Q86</f>
        <v>33.808580266982318</v>
      </c>
      <c r="F45" s="504">
        <f>U53</f>
        <v>33.808580266982318</v>
      </c>
      <c r="G45" s="505"/>
      <c r="H45" s="197"/>
      <c r="J45" s="209"/>
      <c r="K45" s="431"/>
      <c r="L45" s="54"/>
      <c r="M45" s="141"/>
      <c r="N45" s="54"/>
      <c r="O45" s="218" t="s">
        <v>250</v>
      </c>
      <c r="R45" s="202"/>
      <c r="Y45" s="501" t="s">
        <v>39</v>
      </c>
      <c r="Z45" s="502"/>
      <c r="AA45" s="503"/>
      <c r="AB45" s="454">
        <v>-1.4295</v>
      </c>
      <c r="AC45" s="454">
        <v>-2.13489</v>
      </c>
      <c r="AD45" s="454">
        <v>2.9981399999999998</v>
      </c>
      <c r="AE45" s="454">
        <v>-1.55419</v>
      </c>
      <c r="AF45" s="454">
        <v>0.39841500000000002</v>
      </c>
      <c r="AG45" s="454">
        <v>-5.0669800000000001E-2</v>
      </c>
      <c r="AH45" s="454">
        <v>2.5306899999999999E-3</v>
      </c>
      <c r="AI45" s="97">
        <f t="shared" si="6"/>
        <v>0.23451893150013775</v>
      </c>
      <c r="AJ45" s="454">
        <v>2</v>
      </c>
      <c r="AK45" s="454">
        <v>150</v>
      </c>
      <c r="AL45" s="454">
        <v>0.14899999999999999</v>
      </c>
      <c r="AM45" s="454">
        <v>0.16300000000000001</v>
      </c>
      <c r="AN45" s="99">
        <f t="shared" si="7"/>
        <v>2345.1893150013775</v>
      </c>
      <c r="AO45" s="54" t="s">
        <v>278</v>
      </c>
      <c r="AP45" s="109"/>
      <c r="AS45" s="166">
        <f>8*$BA$16</f>
        <v>800</v>
      </c>
      <c r="AT45" s="166">
        <f>8*$BA$16*$J$24</f>
        <v>800</v>
      </c>
      <c r="AU45" s="168">
        <v>37.13271066890222</v>
      </c>
      <c r="AV45" s="168">
        <v>576.12595612536052</v>
      </c>
      <c r="AW45" s="168">
        <v>1.3000222929525718</v>
      </c>
      <c r="AX45" s="168">
        <v>51.344035891200278</v>
      </c>
      <c r="AY45" s="168">
        <v>89.899002212463472</v>
      </c>
      <c r="AZ45" s="168">
        <v>2.6857729248962059</v>
      </c>
      <c r="BA45" s="168">
        <v>94.79165744598717</v>
      </c>
      <c r="BB45" s="168">
        <v>3.9535759901423703E-2</v>
      </c>
      <c r="BC45" s="168">
        <v>1.3805807864091442</v>
      </c>
      <c r="BE45" s="168">
        <f>8*$BL$16</f>
        <v>800</v>
      </c>
      <c r="BF45" s="168">
        <v>37.13271066890222</v>
      </c>
      <c r="BG45" s="168">
        <v>800</v>
      </c>
      <c r="BH45" s="168">
        <v>576.12595612536052</v>
      </c>
      <c r="BI45" s="168">
        <v>1.3000222929525718</v>
      </c>
      <c r="BJ45" s="168">
        <v>51.344035891200278</v>
      </c>
      <c r="BK45" s="168">
        <v>89.899002212463472</v>
      </c>
      <c r="BL45" s="168">
        <v>2.6857729248962059</v>
      </c>
      <c r="BM45" s="168">
        <v>94.79165744598717</v>
      </c>
      <c r="BN45" s="168">
        <v>3.9535759901423703E-2</v>
      </c>
      <c r="BO45" s="168">
        <v>1.3805807864091442</v>
      </c>
    </row>
    <row r="46" spans="1:68" ht="18.600000000000001" x14ac:dyDescent="0.3">
      <c r="B46" s="62"/>
      <c r="C46" s="54" t="s">
        <v>240</v>
      </c>
      <c r="D46" s="54"/>
      <c r="E46" s="211"/>
      <c r="F46" s="504"/>
      <c r="G46" s="505"/>
      <c r="H46" s="197"/>
      <c r="I46" s="84" t="s">
        <v>66</v>
      </c>
      <c r="K46" s="432"/>
      <c r="L46" s="54"/>
      <c r="M46" s="141"/>
      <c r="N46" s="54"/>
      <c r="O46" s="54" t="s">
        <v>162</v>
      </c>
      <c r="R46" s="202"/>
      <c r="Y46" s="501" t="s">
        <v>98</v>
      </c>
      <c r="Z46" s="502"/>
      <c r="AA46" s="503"/>
      <c r="AB46" s="450">
        <v>7.6467999999999998</v>
      </c>
      <c r="AC46" s="450">
        <v>-5.0753000000000004</v>
      </c>
      <c r="AD46" s="450">
        <v>1.1757</v>
      </c>
      <c r="AE46" s="450">
        <v>-9.8566000000000001E-2</v>
      </c>
      <c r="AF46" s="450">
        <v>0</v>
      </c>
      <c r="AG46" s="450">
        <v>0</v>
      </c>
      <c r="AH46" s="450">
        <v>0</v>
      </c>
      <c r="AI46" s="97">
        <f t="shared" si="6"/>
        <v>9.6775765448618287</v>
      </c>
      <c r="AJ46" s="454">
        <v>2</v>
      </c>
      <c r="AK46" s="454">
        <v>100</v>
      </c>
      <c r="AL46" s="454">
        <v>106.7</v>
      </c>
      <c r="AM46" s="454">
        <v>0.65</v>
      </c>
      <c r="AN46" s="99">
        <f t="shared" si="7"/>
        <v>96775.765448618287</v>
      </c>
      <c r="AO46" s="54" t="s">
        <v>278</v>
      </c>
      <c r="AP46" s="109"/>
      <c r="AS46" s="166">
        <f>9*$BA$16</f>
        <v>900</v>
      </c>
      <c r="AT46" s="166">
        <f>9*$BA$16*$J$24</f>
        <v>900</v>
      </c>
      <c r="AU46" s="168">
        <v>41.774299502514999</v>
      </c>
      <c r="AV46" s="168">
        <v>662.23939647184727</v>
      </c>
      <c r="AW46" s="168">
        <v>1.1205895295548209</v>
      </c>
      <c r="AX46" s="168">
        <v>45.80448146323279</v>
      </c>
      <c r="AY46" s="168">
        <v>93.214882651812488</v>
      </c>
      <c r="AZ46" s="168">
        <v>2.3013533389716057</v>
      </c>
      <c r="BA46" s="168">
        <v>83.807910121741756</v>
      </c>
      <c r="BB46" s="168">
        <v>2.9916631066356836E-2</v>
      </c>
      <c r="BC46" s="168">
        <v>1.0700554420441584</v>
      </c>
      <c r="BE46" s="168">
        <f>9*$BL$16</f>
        <v>900</v>
      </c>
      <c r="BF46" s="168">
        <v>41.774299502514999</v>
      </c>
      <c r="BG46" s="168">
        <v>900</v>
      </c>
      <c r="BH46" s="168">
        <v>662.23939647184727</v>
      </c>
      <c r="BI46" s="168">
        <v>1.1205895295548209</v>
      </c>
      <c r="BJ46" s="168">
        <v>45.80448146323279</v>
      </c>
      <c r="BK46" s="168">
        <v>93.214882651812488</v>
      </c>
      <c r="BL46" s="168">
        <v>2.3013533389716057</v>
      </c>
      <c r="BM46" s="168">
        <v>83.807910121741756</v>
      </c>
      <c r="BN46" s="168">
        <v>2.9916631066356836E-2</v>
      </c>
      <c r="BO46" s="168">
        <v>1.0700554420441584</v>
      </c>
    </row>
    <row r="47" spans="1:68" x14ac:dyDescent="0.3">
      <c r="B47" s="62"/>
      <c r="D47" s="54"/>
      <c r="E47" s="211"/>
      <c r="F47" s="504"/>
      <c r="G47" s="505"/>
      <c r="H47" s="197"/>
      <c r="I47" s="217" t="s">
        <v>24</v>
      </c>
      <c r="K47" s="431">
        <f>AL151</f>
        <v>1</v>
      </c>
      <c r="L47" s="54"/>
      <c r="M47" s="141"/>
      <c r="N47" s="54"/>
      <c r="O47" s="155"/>
      <c r="P47" s="54" t="s">
        <v>147</v>
      </c>
      <c r="Q47" s="199">
        <f>Q40*IF(AND(T26="Number of Munitions",Q24&lt;&gt;1),Q41,Q31)</f>
        <v>10000</v>
      </c>
      <c r="R47" s="219" t="s">
        <v>246</v>
      </c>
      <c r="S47" s="193" t="s">
        <v>296</v>
      </c>
      <c r="T47" s="193"/>
      <c r="V47" s="85"/>
      <c r="Y47" s="501" t="s">
        <v>99</v>
      </c>
      <c r="Z47" s="502"/>
      <c r="AA47" s="503"/>
      <c r="AB47" s="450">
        <v>-0.57198000000000004</v>
      </c>
      <c r="AC47" s="450">
        <v>0.89254999999999995</v>
      </c>
      <c r="AD47" s="450">
        <v>-0.28166000000000002</v>
      </c>
      <c r="AE47" s="450">
        <v>3.9836999999999997E-2</v>
      </c>
      <c r="AF47" s="450">
        <v>-2.3213000000000001E-3</v>
      </c>
      <c r="AG47" s="450">
        <v>0</v>
      </c>
      <c r="AH47" s="450">
        <v>0</v>
      </c>
      <c r="AI47" s="97">
        <f t="shared" si="6"/>
        <v>1.3042665559229427</v>
      </c>
      <c r="AJ47" s="454">
        <v>2</v>
      </c>
      <c r="AK47" s="454">
        <v>100</v>
      </c>
      <c r="AL47" s="454">
        <v>0.92490000000000006</v>
      </c>
      <c r="AM47" s="454">
        <v>1.508</v>
      </c>
      <c r="AN47" s="99">
        <f t="shared" si="7"/>
        <v>13042.665559229426</v>
      </c>
      <c r="AO47" s="54" t="s">
        <v>278</v>
      </c>
      <c r="AP47" s="210"/>
      <c r="AS47" s="166">
        <f>10*$BA$16</f>
        <v>1000</v>
      </c>
      <c r="AT47" s="166">
        <f>10*$BA$16*$J$24</f>
        <v>1000</v>
      </c>
      <c r="AU47" s="168">
        <v>46.415888336127779</v>
      </c>
      <c r="AV47" s="168">
        <v>748.93816285154116</v>
      </c>
      <c r="AW47" s="168">
        <v>0.9818987539481896</v>
      </c>
      <c r="AX47" s="168">
        <v>41.341318570348712</v>
      </c>
      <c r="AY47" s="168">
        <v>96.180411668292464</v>
      </c>
      <c r="AZ47" s="168">
        <v>2.0065076934745751</v>
      </c>
      <c r="BA47" s="168">
        <v>75.077245729053971</v>
      </c>
      <c r="BB47" s="168">
        <v>2.3375149294456766E-2</v>
      </c>
      <c r="BC47" s="168">
        <v>0.85439820122333987</v>
      </c>
      <c r="BE47" s="168">
        <f>10*$BL$16</f>
        <v>1000</v>
      </c>
      <c r="BF47" s="168">
        <v>46.415888336127779</v>
      </c>
      <c r="BG47" s="168">
        <v>1000</v>
      </c>
      <c r="BH47" s="168">
        <v>748.93816285154116</v>
      </c>
      <c r="BI47" s="168">
        <v>0.9818987539481896</v>
      </c>
      <c r="BJ47" s="168">
        <v>41.341318570348712</v>
      </c>
      <c r="BK47" s="168">
        <v>96.180411668292464</v>
      </c>
      <c r="BL47" s="168">
        <v>2.0065076934745751</v>
      </c>
      <c r="BM47" s="168">
        <v>75.077245729053971</v>
      </c>
      <c r="BN47" s="168">
        <v>2.3375149294456766E-2</v>
      </c>
      <c r="BO47" s="168">
        <v>0.85439820122333987</v>
      </c>
    </row>
    <row r="48" spans="1:68" x14ac:dyDescent="0.3">
      <c r="B48" s="62"/>
      <c r="C48" s="54" t="s">
        <v>21</v>
      </c>
      <c r="D48" s="54"/>
      <c r="E48" s="211">
        <f>Q87</f>
        <v>349.82895319284455</v>
      </c>
      <c r="F48" s="504">
        <f>U54</f>
        <v>349.82895319284455</v>
      </c>
      <c r="G48" s="505"/>
      <c r="H48" s="197"/>
      <c r="I48" s="66" t="s">
        <v>26</v>
      </c>
      <c r="K48" s="433"/>
      <c r="L48" s="54"/>
      <c r="M48" s="141"/>
      <c r="N48" s="54"/>
      <c r="P48" s="54" t="s">
        <v>233</v>
      </c>
      <c r="Q48" s="178">
        <f>IF(T26="Number of Munitions",E9,Q47/Q41)</f>
        <v>10000</v>
      </c>
      <c r="R48" s="220" t="s">
        <v>247</v>
      </c>
      <c r="T48" s="221" t="s">
        <v>245</v>
      </c>
      <c r="V48" s="85"/>
      <c r="Y48" s="501" t="s">
        <v>100</v>
      </c>
      <c r="Z48" s="502"/>
      <c r="AA48" s="503"/>
      <c r="AB48" s="450">
        <v>-0.66164000000000001</v>
      </c>
      <c r="AC48" s="450">
        <v>0.93747999999999998</v>
      </c>
      <c r="AD48" s="450">
        <v>-0.34127000000000002</v>
      </c>
      <c r="AE48" s="450">
        <v>2.2218999999999999E-2</v>
      </c>
      <c r="AF48" s="450">
        <v>0</v>
      </c>
      <c r="AG48" s="450">
        <v>0</v>
      </c>
      <c r="AH48" s="450">
        <v>0</v>
      </c>
      <c r="AI48" s="97">
        <f t="shared" si="6"/>
        <v>1.0551124503718647</v>
      </c>
      <c r="AJ48" s="454">
        <v>1</v>
      </c>
      <c r="AK48" s="454">
        <v>100</v>
      </c>
      <c r="AL48" s="454">
        <v>0.51790000000000003</v>
      </c>
      <c r="AM48" s="454">
        <v>0.24299999999999999</v>
      </c>
      <c r="AN48" s="99">
        <f t="shared" si="7"/>
        <v>10551.124503718647</v>
      </c>
      <c r="AO48" s="54" t="s">
        <v>278</v>
      </c>
      <c r="AP48" s="109"/>
      <c r="AS48" s="166">
        <f>12*$BA$16</f>
        <v>1200</v>
      </c>
      <c r="AT48" s="166">
        <f>12*$BA$16*$J$24</f>
        <v>1200</v>
      </c>
      <c r="AU48" s="168">
        <v>55.69906600335333</v>
      </c>
      <c r="AV48" s="168">
        <v>923.84226773835826</v>
      </c>
      <c r="AW48" s="168">
        <v>0.78051910370999256</v>
      </c>
      <c r="AX48" s="168">
        <v>34.586859140258397</v>
      </c>
      <c r="AY48" s="168">
        <v>101.25342867255802</v>
      </c>
      <c r="AZ48" s="168">
        <v>1.5827600449901822</v>
      </c>
      <c r="BA48" s="168">
        <v>62.069688844662529</v>
      </c>
      <c r="BB48" s="168">
        <v>1.5165983582672307E-2</v>
      </c>
      <c r="BC48" s="168">
        <v>0.58165994800445175</v>
      </c>
      <c r="BE48" s="168">
        <f>12*$BL$16</f>
        <v>1200</v>
      </c>
      <c r="BF48" s="168">
        <v>55.69906600335333</v>
      </c>
      <c r="BG48" s="168">
        <v>1200</v>
      </c>
      <c r="BH48" s="168">
        <v>923.84226773835826</v>
      </c>
      <c r="BI48" s="168">
        <v>0.78051910370999256</v>
      </c>
      <c r="BJ48" s="168">
        <v>34.586859140258397</v>
      </c>
      <c r="BK48" s="168">
        <v>101.25342867255802</v>
      </c>
      <c r="BL48" s="168">
        <v>1.5827600449901822</v>
      </c>
      <c r="BM48" s="168">
        <v>62.069688844662529</v>
      </c>
      <c r="BN48" s="168">
        <v>1.5165983582672307E-2</v>
      </c>
      <c r="BO48" s="168">
        <v>0.58165994800445175</v>
      </c>
    </row>
    <row r="49" spans="2:67" ht="19.8" x14ac:dyDescent="0.4">
      <c r="B49" s="62"/>
      <c r="C49" s="54" t="s">
        <v>241</v>
      </c>
      <c r="D49" s="54"/>
      <c r="E49" s="211"/>
      <c r="F49" s="504"/>
      <c r="G49" s="505"/>
      <c r="H49" s="197"/>
      <c r="J49" s="209"/>
      <c r="K49" s="431"/>
      <c r="L49" s="54"/>
      <c r="M49" s="141"/>
      <c r="N49" s="54"/>
      <c r="P49" s="54" t="s">
        <v>163</v>
      </c>
      <c r="Q49" s="109">
        <f>Q33/Q47^(1/3)</f>
        <v>4.6415888336127775</v>
      </c>
      <c r="R49" s="222" t="s">
        <v>251</v>
      </c>
      <c r="T49" s="54" t="s">
        <v>178</v>
      </c>
      <c r="U49" s="223">
        <f>IF(Q82="Out of Range","Out of Range",Q82*Q72)</f>
        <v>24.026772636793208</v>
      </c>
      <c r="V49" s="224" t="s">
        <v>306</v>
      </c>
      <c r="Y49" s="501" t="s">
        <v>585</v>
      </c>
      <c r="Z49" s="502"/>
      <c r="AA49" s="503"/>
      <c r="AB49" s="450">
        <v>-4.8578999999999999</v>
      </c>
      <c r="AC49" s="450">
        <v>6.4097</v>
      </c>
      <c r="AD49" s="450">
        <v>-3.3942000000000001</v>
      </c>
      <c r="AE49" s="450">
        <v>0.74914000000000003</v>
      </c>
      <c r="AF49" s="450">
        <v>-5.8458000000000003E-2</v>
      </c>
      <c r="AG49" s="450">
        <v>0</v>
      </c>
      <c r="AH49" s="450">
        <v>0</v>
      </c>
      <c r="AI49" s="97">
        <f t="shared" si="6"/>
        <v>0.53177340630614911</v>
      </c>
      <c r="AJ49" s="454">
        <v>1.5</v>
      </c>
      <c r="AK49" s="454">
        <v>100</v>
      </c>
      <c r="AL49" s="454">
        <v>6.2E-2</v>
      </c>
      <c r="AM49" s="454">
        <v>0.622</v>
      </c>
      <c r="AN49" s="99">
        <f t="shared" si="7"/>
        <v>5317.7340630614908</v>
      </c>
      <c r="AO49" s="54" t="s">
        <v>278</v>
      </c>
      <c r="AP49" s="109"/>
      <c r="AS49" s="166">
        <f>14*$BA$16</f>
        <v>1400</v>
      </c>
      <c r="AT49" s="166">
        <f>14*$BA$16*$J$24</f>
        <v>1400</v>
      </c>
      <c r="AU49" s="168">
        <v>64.982243670578882</v>
      </c>
      <c r="AV49" s="168">
        <v>1100.1667536664147</v>
      </c>
      <c r="AW49" s="168">
        <v>0.63889903973406503</v>
      </c>
      <c r="AX49" s="168">
        <v>29.710243362653536</v>
      </c>
      <c r="AY49" s="168">
        <v>105.47505190531528</v>
      </c>
      <c r="AZ49" s="168">
        <v>1.2915985151924108</v>
      </c>
      <c r="BA49" s="168">
        <v>52.838715864077848</v>
      </c>
      <c r="BB49" s="168">
        <v>1.0303389972382027E-2</v>
      </c>
      <c r="BC49" s="168">
        <v>0.41888638556055369</v>
      </c>
      <c r="BE49" s="168">
        <f>14*$BL$16</f>
        <v>1400</v>
      </c>
      <c r="BF49" s="168">
        <v>64.982243670578882</v>
      </c>
      <c r="BG49" s="168">
        <v>1400</v>
      </c>
      <c r="BH49" s="168">
        <v>1100.1667536664147</v>
      </c>
      <c r="BI49" s="168">
        <v>0.63889903973406503</v>
      </c>
      <c r="BJ49" s="168">
        <v>29.710243362653536</v>
      </c>
      <c r="BK49" s="168">
        <v>105.47505190531528</v>
      </c>
      <c r="BL49" s="168">
        <v>1.2915985151924108</v>
      </c>
      <c r="BM49" s="168">
        <v>52.838715864077848</v>
      </c>
      <c r="BN49" s="168">
        <v>1.0303389972382027E-2</v>
      </c>
      <c r="BO49" s="168">
        <v>0.41888638556055369</v>
      </c>
    </row>
    <row r="50" spans="2:67" ht="19.8" x14ac:dyDescent="0.4">
      <c r="B50" s="62"/>
      <c r="C50" s="54"/>
      <c r="D50" s="54"/>
      <c r="E50" s="211"/>
      <c r="F50" s="504"/>
      <c r="G50" s="505"/>
      <c r="H50" s="197"/>
      <c r="I50" s="66" t="s">
        <v>68</v>
      </c>
      <c r="K50" s="432"/>
      <c r="L50" s="54"/>
      <c r="M50" s="141"/>
      <c r="N50" s="54"/>
      <c r="R50" s="220"/>
      <c r="T50" s="54" t="s">
        <v>179</v>
      </c>
      <c r="U50" s="210">
        <f>IF(Q83="Out of Range","Out of Range",Q83*Q70)</f>
        <v>49.817025286380328</v>
      </c>
      <c r="V50" s="225" t="s">
        <v>307</v>
      </c>
      <c r="W50" s="155"/>
      <c r="Y50" s="501" t="s">
        <v>586</v>
      </c>
      <c r="Z50" s="502"/>
      <c r="AA50" s="503"/>
      <c r="AB50" s="450">
        <v>-1.762896</v>
      </c>
      <c r="AC50" s="450">
        <v>0.88640459999999999</v>
      </c>
      <c r="AD50" s="450">
        <v>0.19465009999999999</v>
      </c>
      <c r="AE50" s="450">
        <v>-0.2631192</v>
      </c>
      <c r="AF50" s="450">
        <v>6.1970600000000001E-2</v>
      </c>
      <c r="AG50" s="450">
        <v>-4.3314859999999998E-3</v>
      </c>
      <c r="AH50" s="450">
        <v>0</v>
      </c>
      <c r="AI50" s="97">
        <f t="shared" si="6"/>
        <v>0.55537120988602051</v>
      </c>
      <c r="AJ50" s="454">
        <v>2.35</v>
      </c>
      <c r="AK50" s="454">
        <v>148</v>
      </c>
      <c r="AL50" s="454">
        <v>0.36799999999999999</v>
      </c>
      <c r="AM50" s="454">
        <v>0.96099999999999997</v>
      </c>
      <c r="AN50" s="99">
        <f t="shared" si="7"/>
        <v>5553.7120988602055</v>
      </c>
      <c r="AO50" s="54" t="s">
        <v>278</v>
      </c>
      <c r="AP50" s="109"/>
      <c r="AS50" s="166">
        <f>16*$BA$16</f>
        <v>1600</v>
      </c>
      <c r="AT50" s="166">
        <f>16*$BA$16*$J$24</f>
        <v>1600</v>
      </c>
      <c r="AU50" s="168">
        <v>74.26542133780444</v>
      </c>
      <c r="AV50" s="168">
        <v>1277.015706636977</v>
      </c>
      <c r="AW50" s="168">
        <v>0.52949365805829163</v>
      </c>
      <c r="AX50" s="168">
        <v>26.017776757301867</v>
      </c>
      <c r="AY50" s="168">
        <v>109.14621951259399</v>
      </c>
      <c r="AZ50" s="168">
        <v>1.0781541929724801</v>
      </c>
      <c r="BA50" s="168">
        <v>45.945369829637343</v>
      </c>
      <c r="BB50" s="168">
        <v>7.1548226855209099E-3</v>
      </c>
      <c r="BC50" s="168">
        <v>0.3099096003933734</v>
      </c>
      <c r="BE50" s="168">
        <f>16*$BL$16</f>
        <v>1600</v>
      </c>
      <c r="BF50" s="168">
        <v>74.26542133780444</v>
      </c>
      <c r="BG50" s="168">
        <v>1600</v>
      </c>
      <c r="BH50" s="168">
        <v>1277.015706636977</v>
      </c>
      <c r="BI50" s="168">
        <v>0.52949365805829163</v>
      </c>
      <c r="BJ50" s="168">
        <v>26.017776757301867</v>
      </c>
      <c r="BK50" s="168">
        <v>109.14621951259399</v>
      </c>
      <c r="BL50" s="168">
        <v>1.0781541929724801</v>
      </c>
      <c r="BM50" s="168">
        <v>45.945369829637343</v>
      </c>
      <c r="BN50" s="168">
        <v>7.1548226855209099E-3</v>
      </c>
      <c r="BO50" s="168">
        <v>0.3099096003933734</v>
      </c>
    </row>
    <row r="51" spans="2:67" ht="19.5" customHeight="1" x14ac:dyDescent="0.4">
      <c r="B51" s="62"/>
      <c r="C51" s="54" t="s">
        <v>22</v>
      </c>
      <c r="D51" s="54"/>
      <c r="E51" s="211">
        <f>Q88</f>
        <v>967.04262786337836</v>
      </c>
      <c r="F51" s="504">
        <f>U55</f>
        <v>967.04262786337836</v>
      </c>
      <c r="G51" s="505"/>
      <c r="H51" s="197"/>
      <c r="I51" s="217" t="s">
        <v>27</v>
      </c>
      <c r="K51" s="431">
        <f>AL160</f>
        <v>1</v>
      </c>
      <c r="L51" s="54"/>
      <c r="M51" s="141"/>
      <c r="N51" s="54"/>
      <c r="O51" s="54" t="s">
        <v>164</v>
      </c>
      <c r="R51" s="220"/>
      <c r="T51" s="54" t="s">
        <v>180</v>
      </c>
      <c r="U51" s="210">
        <f>IF(U50="Out of Range","Out of Range",20*LOG10(U50)+170.7496)</f>
        <v>204.69715582078172</v>
      </c>
      <c r="V51" s="226" t="s">
        <v>299</v>
      </c>
      <c r="W51" s="155"/>
      <c r="Y51" s="501" t="s">
        <v>587</v>
      </c>
      <c r="Z51" s="502"/>
      <c r="AA51" s="503"/>
      <c r="AB51" s="450">
        <v>-1.610169</v>
      </c>
      <c r="AC51" s="450">
        <v>2.1550790000000002</v>
      </c>
      <c r="AD51" s="450">
        <v>-1.19963</v>
      </c>
      <c r="AE51" s="450">
        <v>0.2054455</v>
      </c>
      <c r="AF51" s="450">
        <v>1.0333749999999999E-2</v>
      </c>
      <c r="AG51" s="450">
        <v>-3.8774880000000001E-3</v>
      </c>
      <c r="AH51" s="450">
        <v>0</v>
      </c>
      <c r="AI51" s="97">
        <f t="shared" si="6"/>
        <v>0.69674237140443762</v>
      </c>
      <c r="AJ51" s="454">
        <v>1</v>
      </c>
      <c r="AK51" s="454">
        <v>148</v>
      </c>
      <c r="AL51" s="454">
        <v>0.2</v>
      </c>
      <c r="AM51" s="454">
        <v>0.4</v>
      </c>
      <c r="AN51" s="99">
        <f t="shared" si="7"/>
        <v>6967.4237140443765</v>
      </c>
      <c r="AO51" s="54" t="s">
        <v>278</v>
      </c>
      <c r="AP51" s="109"/>
      <c r="AS51" s="166">
        <f>18*$BA$16</f>
        <v>1800</v>
      </c>
      <c r="AT51" s="166">
        <f>18*$BA$16*$J$24</f>
        <v>1800</v>
      </c>
      <c r="AU51" s="168">
        <v>83.548599005029999</v>
      </c>
      <c r="AV51" s="168">
        <v>1453.361630049694</v>
      </c>
      <c r="AW51" s="168">
        <v>0.44865201715484365</v>
      </c>
      <c r="AX51" s="168">
        <v>23.120739335482799</v>
      </c>
      <c r="AY51" s="168">
        <v>112.50964516240066</v>
      </c>
      <c r="AZ51" s="168">
        <v>0.91423275732608544</v>
      </c>
      <c r="BA51" s="168">
        <v>40.600129274652119</v>
      </c>
      <c r="BB51" s="168">
        <v>5.01195866405694E-3</v>
      </c>
      <c r="BC51" s="168">
        <v>0.23041936129450585</v>
      </c>
      <c r="BE51" s="168">
        <f>18*$BL$16</f>
        <v>1800</v>
      </c>
      <c r="BF51" s="168">
        <v>83.548599005029999</v>
      </c>
      <c r="BG51" s="168">
        <v>1800</v>
      </c>
      <c r="BH51" s="168">
        <v>1453.361630049694</v>
      </c>
      <c r="BI51" s="168">
        <v>0.44865201715484365</v>
      </c>
      <c r="BJ51" s="168">
        <v>23.120739335482799</v>
      </c>
      <c r="BK51" s="168">
        <v>112.50964516240066</v>
      </c>
      <c r="BL51" s="168">
        <v>0.91423275732608544</v>
      </c>
      <c r="BM51" s="168">
        <v>40.600129274652119</v>
      </c>
      <c r="BN51" s="168">
        <v>5.01195866405694E-3</v>
      </c>
      <c r="BO51" s="168">
        <v>0.23041936129450585</v>
      </c>
    </row>
    <row r="52" spans="2:67" ht="18.600000000000001" x14ac:dyDescent="0.4">
      <c r="B52" s="62"/>
      <c r="C52" s="54" t="s">
        <v>241</v>
      </c>
      <c r="D52" s="54"/>
      <c r="E52" s="211"/>
      <c r="F52" s="504"/>
      <c r="G52" s="505"/>
      <c r="H52" s="197"/>
      <c r="I52" s="66" t="s">
        <v>26</v>
      </c>
      <c r="K52" s="433"/>
      <c r="L52" s="54"/>
      <c r="M52" s="141"/>
      <c r="N52" s="54"/>
      <c r="O52" s="196"/>
      <c r="P52" s="54" t="s">
        <v>165</v>
      </c>
      <c r="Q52" s="199">
        <f>IF($Q$23=1,$Q$47*Q38,$Q$47)</f>
        <v>10000</v>
      </c>
      <c r="R52" s="219" t="s">
        <v>252</v>
      </c>
      <c r="T52" s="85" t="s">
        <v>181</v>
      </c>
      <c r="U52" s="210">
        <f>IF(Q85="Out of Range","Out of Range",Q85*Q70)</f>
        <v>196.98158491170912</v>
      </c>
      <c r="V52" s="225" t="s">
        <v>308</v>
      </c>
      <c r="Y52" s="358" t="s">
        <v>584</v>
      </c>
      <c r="Z52" s="359"/>
      <c r="AA52" s="360"/>
      <c r="AB52" s="450">
        <v>-2.3111139999999999</v>
      </c>
      <c r="AC52" s="450">
        <v>1.2964910000000001</v>
      </c>
      <c r="AD52" s="450">
        <v>-0.4230314</v>
      </c>
      <c r="AE52" s="450">
        <v>6.5383899999999998E-3</v>
      </c>
      <c r="AF52" s="450">
        <v>2.2508E-2</v>
      </c>
      <c r="AG52" s="450">
        <v>-2.749835E-3</v>
      </c>
      <c r="AH52" s="450">
        <v>0</v>
      </c>
      <c r="AI52" s="97">
        <f t="shared" si="6"/>
        <v>0.30344131823426557</v>
      </c>
      <c r="AJ52" s="454">
        <v>1.3</v>
      </c>
      <c r="AK52" s="454">
        <v>175</v>
      </c>
      <c r="AL52" s="454">
        <v>0.13500000000000001</v>
      </c>
      <c r="AM52" s="454">
        <v>1.0880000000000001</v>
      </c>
      <c r="AN52" s="99">
        <f>IF($X$3&gt;AK52,AM52*$X$5,IF($X$3&gt;AJ52,$X$5*AI52,AL52*$X$5))</f>
        <v>3034.4131823426555</v>
      </c>
      <c r="AO52" s="54" t="s">
        <v>278</v>
      </c>
      <c r="AP52" s="109"/>
      <c r="AS52" s="166">
        <f>20*$BA$16</f>
        <v>2000</v>
      </c>
      <c r="AT52" s="166">
        <f>20*$BA$16*$J$24</f>
        <v>2000</v>
      </c>
      <c r="AU52" s="168">
        <v>92.831776672255558</v>
      </c>
      <c r="AV52" s="168">
        <v>1628.123450845801</v>
      </c>
      <c r="AW52" s="168">
        <v>0.38685404162437131</v>
      </c>
      <c r="AX52" s="168">
        <v>20.668597862506637</v>
      </c>
      <c r="AY52" s="168">
        <v>115.75731304922485</v>
      </c>
      <c r="AZ52" s="168">
        <v>0.7838831565685469</v>
      </c>
      <c r="BA52" s="168">
        <v>36.333501058948727</v>
      </c>
      <c r="BB52" s="168">
        <v>3.5154250761680445E-3</v>
      </c>
      <c r="BC52" s="168">
        <v>0.16933747622907036</v>
      </c>
      <c r="BE52" s="168">
        <f>20*$BL$16</f>
        <v>2000</v>
      </c>
      <c r="BF52" s="168">
        <v>92.831776672255558</v>
      </c>
      <c r="BG52" s="168">
        <v>2000</v>
      </c>
      <c r="BH52" s="168">
        <v>1628.123450845801</v>
      </c>
      <c r="BI52" s="168">
        <v>0.38685404162437131</v>
      </c>
      <c r="BJ52" s="168">
        <v>20.668597862506637</v>
      </c>
      <c r="BK52" s="168">
        <v>115.75731304922485</v>
      </c>
      <c r="BL52" s="168">
        <v>0.7838831565685469</v>
      </c>
      <c r="BM52" s="168">
        <v>36.333501058948727</v>
      </c>
      <c r="BN52" s="168">
        <v>3.5154250761680445E-3</v>
      </c>
      <c r="BO52" s="168">
        <v>0.16933747622907036</v>
      </c>
    </row>
    <row r="53" spans="2:67" ht="18" x14ac:dyDescent="0.4">
      <c r="B53" s="62"/>
      <c r="C53" s="54"/>
      <c r="D53" s="54"/>
      <c r="E53" s="211"/>
      <c r="F53" s="504"/>
      <c r="G53" s="505"/>
      <c r="H53" s="197"/>
      <c r="K53" s="431"/>
      <c r="L53" s="54"/>
      <c r="M53" s="141"/>
      <c r="N53" s="54"/>
      <c r="P53" s="54" t="s">
        <v>177</v>
      </c>
      <c r="Q53" s="199">
        <f>IF($Q$23=1,$Q$47*Q39,$Q$47)</f>
        <v>10000</v>
      </c>
      <c r="R53" s="219" t="s">
        <v>253</v>
      </c>
      <c r="T53" s="54" t="s">
        <v>182</v>
      </c>
      <c r="U53" s="210">
        <f>IF(Q86="Out of Range","Out of Range",Q86*Q72)</f>
        <v>33.808580266982318</v>
      </c>
      <c r="V53" s="225" t="s">
        <v>309</v>
      </c>
      <c r="Y53" s="358"/>
      <c r="Z53" s="359"/>
      <c r="AA53" s="360"/>
      <c r="AB53" s="125"/>
      <c r="AC53" s="126"/>
      <c r="AD53" s="126"/>
      <c r="AE53" s="126"/>
      <c r="AF53" s="126"/>
      <c r="AG53" s="126"/>
      <c r="AH53" s="127"/>
      <c r="AI53" s="128"/>
      <c r="AJ53" s="123"/>
      <c r="AK53" s="123"/>
      <c r="AL53" s="123"/>
      <c r="AM53" s="361"/>
      <c r="AN53" s="129"/>
      <c r="AP53" s="109"/>
      <c r="AS53" s="166">
        <f>25*$BA$16</f>
        <v>2500</v>
      </c>
      <c r="AT53" s="166">
        <f>25*$BA$16*$J$24</f>
        <v>2500</v>
      </c>
      <c r="AU53" s="168">
        <v>116.03972084031945</v>
      </c>
      <c r="AV53" s="168">
        <v>2058.3954022998973</v>
      </c>
      <c r="AW53" s="168">
        <v>0.28263992824751694</v>
      </c>
      <c r="AX53" s="168">
        <v>16.307695051708102</v>
      </c>
      <c r="AY53" s="168">
        <v>122.57074406077106</v>
      </c>
      <c r="AZ53" s="168">
        <v>0.56527985649503387</v>
      </c>
      <c r="BA53" s="168">
        <v>28.674022529081469</v>
      </c>
      <c r="BB53" s="168">
        <v>1.4227115442442127E-3</v>
      </c>
      <c r="BC53" s="168">
        <v>6.9198201873849424E-2</v>
      </c>
      <c r="BE53" s="168">
        <f>25*$BL$16</f>
        <v>2500</v>
      </c>
      <c r="BF53" s="168">
        <v>116.03972084031945</v>
      </c>
      <c r="BG53" s="168">
        <v>2500</v>
      </c>
      <c r="BH53" s="168">
        <v>2058.3954022998973</v>
      </c>
      <c r="BI53" s="168">
        <v>0.28263992824751694</v>
      </c>
      <c r="BJ53" s="168">
        <v>16.307695051708102</v>
      </c>
      <c r="BK53" s="168">
        <v>122.57074406077106</v>
      </c>
      <c r="BL53" s="168">
        <v>0.56527985649503387</v>
      </c>
      <c r="BM53" s="168">
        <v>28.674022529081469</v>
      </c>
      <c r="BN53" s="168">
        <v>1.4227115442442127E-3</v>
      </c>
      <c r="BO53" s="168">
        <v>6.9198201873849424E-2</v>
      </c>
    </row>
    <row r="54" spans="2:67" ht="20.399999999999999" thickBot="1" x14ac:dyDescent="0.45">
      <c r="B54" s="62"/>
      <c r="C54" s="54" t="s">
        <v>23</v>
      </c>
      <c r="D54" s="54"/>
      <c r="E54" s="211">
        <f>Q89</f>
        <v>40.122641727426497</v>
      </c>
      <c r="F54" s="504">
        <f>U56</f>
        <v>40.122641727426497</v>
      </c>
      <c r="G54" s="505"/>
      <c r="H54" s="197"/>
      <c r="I54" s="66" t="s">
        <v>70</v>
      </c>
      <c r="K54" s="432"/>
      <c r="L54" s="155"/>
      <c r="M54" s="198"/>
      <c r="N54" s="155"/>
      <c r="Q54" s="199"/>
      <c r="R54" s="219"/>
      <c r="T54" s="54" t="s">
        <v>183</v>
      </c>
      <c r="U54" s="210">
        <f>IF(Q87="Out of Range","Out of Range",Q87*Q73)</f>
        <v>349.82895319284455</v>
      </c>
      <c r="V54" s="225" t="s">
        <v>310</v>
      </c>
      <c r="Y54" s="498"/>
      <c r="Z54" s="499"/>
      <c r="AA54" s="500"/>
      <c r="AB54" s="171"/>
      <c r="AC54" s="172"/>
      <c r="AD54" s="172"/>
      <c r="AE54" s="172"/>
      <c r="AF54" s="172"/>
      <c r="AG54" s="172"/>
      <c r="AH54" s="173"/>
      <c r="AI54" s="174"/>
      <c r="AJ54" s="81"/>
      <c r="AK54" s="81"/>
      <c r="AL54" s="81"/>
      <c r="AM54" s="214"/>
      <c r="AN54" s="215"/>
      <c r="AP54" s="109"/>
      <c r="AS54" s="166">
        <f>30*$BA$16</f>
        <v>3000</v>
      </c>
      <c r="AT54" s="166">
        <f>30*$BA$16*$J$24</f>
        <v>3000</v>
      </c>
      <c r="AU54" s="168">
        <v>139.24766500838334</v>
      </c>
      <c r="AV54" s="168">
        <v>2491.6951838423752</v>
      </c>
      <c r="AW54" s="168">
        <v>0.21870422526280897</v>
      </c>
      <c r="AX54" s="168">
        <v>13.436993231343109</v>
      </c>
      <c r="AY54" s="168">
        <v>127.85718177192244</v>
      </c>
      <c r="AZ54" s="168">
        <v>0.43740845052561794</v>
      </c>
      <c r="BA54" s="168">
        <v>23.582874722864041</v>
      </c>
      <c r="BB54" s="168">
        <v>5.516245107213411E-4</v>
      </c>
      <c r="BC54" s="168">
        <v>2.1710429859879511E-2</v>
      </c>
      <c r="BE54" s="168">
        <f>30*$BL$16</f>
        <v>3000</v>
      </c>
      <c r="BF54" s="168">
        <v>139.24766500838334</v>
      </c>
      <c r="BG54" s="168">
        <v>3000</v>
      </c>
      <c r="BH54" s="168">
        <v>2491.6951838423752</v>
      </c>
      <c r="BI54" s="168">
        <v>0.21870422526280897</v>
      </c>
      <c r="BJ54" s="168">
        <v>13.436993231343109</v>
      </c>
      <c r="BK54" s="168">
        <v>127.85718177192244</v>
      </c>
      <c r="BL54" s="168">
        <v>0.43740845052561794</v>
      </c>
      <c r="BM54" s="168">
        <v>23.582874722864041</v>
      </c>
      <c r="BN54" s="168">
        <v>5.516245107213411E-4</v>
      </c>
      <c r="BO54" s="168">
        <v>2.1710429859879511E-2</v>
      </c>
    </row>
    <row r="55" spans="2:67" ht="18" x14ac:dyDescent="0.4">
      <c r="B55" s="62"/>
      <c r="C55" s="54" t="s">
        <v>243</v>
      </c>
      <c r="D55" s="54"/>
      <c r="E55" s="211"/>
      <c r="F55" s="504"/>
      <c r="G55" s="505"/>
      <c r="H55" s="197"/>
      <c r="I55" s="217" t="s">
        <v>28</v>
      </c>
      <c r="K55" s="431">
        <f>AL169</f>
        <v>1</v>
      </c>
      <c r="L55" s="54"/>
      <c r="M55" s="141"/>
      <c r="N55" s="54"/>
      <c r="P55" s="221" t="s">
        <v>172</v>
      </c>
      <c r="R55" s="220"/>
      <c r="T55" s="54" t="s">
        <v>184</v>
      </c>
      <c r="U55" s="210">
        <f>IF(Q88="Out of Range","Out of Range",Q88*Q73)</f>
        <v>967.04262786337836</v>
      </c>
      <c r="V55" s="225" t="s">
        <v>311</v>
      </c>
      <c r="X55" s="155"/>
      <c r="AB55" s="179"/>
      <c r="AC55" s="180"/>
      <c r="AD55" s="180"/>
      <c r="AE55" s="180"/>
      <c r="AF55" s="180"/>
      <c r="AG55" s="180"/>
      <c r="AH55" s="180"/>
      <c r="AS55" s="166">
        <f>35*$BA$16</f>
        <v>3500</v>
      </c>
      <c r="AT55" s="166">
        <f>35*$BA$16*$J$24</f>
        <v>3500</v>
      </c>
      <c r="AU55" s="168">
        <v>162.45560917644721</v>
      </c>
      <c r="AV55" s="168">
        <v>2928.4766052991195</v>
      </c>
      <c r="AW55" s="168">
        <v>0.17607180612050288</v>
      </c>
      <c r="AX55" s="168">
        <v>11.407871164615401</v>
      </c>
      <c r="AY55" s="168">
        <v>132.3054771538398</v>
      </c>
      <c r="AZ55" s="168">
        <v>0.35214361224100577</v>
      </c>
      <c r="BA55" s="168">
        <v>19.955408760385197</v>
      </c>
      <c r="BB55" s="168" t="str">
        <v>Out of Range</v>
      </c>
      <c r="BC55" s="168" t="str">
        <v>Out of Range</v>
      </c>
      <c r="BE55" s="168">
        <f>35*$BL$16</f>
        <v>3500</v>
      </c>
      <c r="BF55" s="168">
        <v>162.45560917644721</v>
      </c>
      <c r="BG55" s="168">
        <v>3500</v>
      </c>
      <c r="BH55" s="168">
        <v>2928.4766052991195</v>
      </c>
      <c r="BI55" s="168">
        <v>0.17607180612050288</v>
      </c>
      <c r="BJ55" s="168">
        <v>11.407871164615401</v>
      </c>
      <c r="BK55" s="168">
        <v>132.3054771538398</v>
      </c>
      <c r="BL55" s="168">
        <v>0.35214361224100577</v>
      </c>
      <c r="BM55" s="168">
        <v>19.955408760385197</v>
      </c>
      <c r="BN55" s="168" t="str">
        <v>Out of Range</v>
      </c>
      <c r="BO55" s="168" t="str">
        <v>Out of Range</v>
      </c>
    </row>
    <row r="56" spans="2:67" ht="18" x14ac:dyDescent="0.4">
      <c r="B56" s="62"/>
      <c r="C56" s="54"/>
      <c r="D56" s="54"/>
      <c r="E56" s="211"/>
      <c r="F56" s="504"/>
      <c r="G56" s="505"/>
      <c r="H56" s="197"/>
      <c r="I56" s="66" t="s">
        <v>26</v>
      </c>
      <c r="K56" s="54"/>
      <c r="L56" s="54"/>
      <c r="M56" s="141"/>
      <c r="N56" s="54"/>
      <c r="P56" s="54" t="s">
        <v>259</v>
      </c>
      <c r="R56" s="220"/>
      <c r="S56" s="199"/>
      <c r="T56" s="54" t="s">
        <v>185</v>
      </c>
      <c r="U56" s="210">
        <f>IF(Q89="Out of Range","Out of Range",Q89*Q70)</f>
        <v>40.122641727426497</v>
      </c>
      <c r="V56" s="225" t="s">
        <v>312</v>
      </c>
      <c r="AS56" s="166">
        <f>40*$BA$16</f>
        <v>4000</v>
      </c>
      <c r="AT56" s="166">
        <f>40*$BA$16*$J$24</f>
        <v>4000</v>
      </c>
      <c r="AU56" s="168">
        <v>185.66355334451112</v>
      </c>
      <c r="AV56" s="168">
        <v>3368.260877527156</v>
      </c>
      <c r="AW56" s="168">
        <v>0.14592118457789671</v>
      </c>
      <c r="AX56" s="168">
        <v>9.8995889018887215</v>
      </c>
      <c r="AY56" s="168">
        <v>136.13219084627971</v>
      </c>
      <c r="AZ56" s="168">
        <v>0.29184236915579342</v>
      </c>
      <c r="BA56" s="168">
        <v>17.241508848821908</v>
      </c>
      <c r="BB56" s="168" t="str">
        <v>Out of Range</v>
      </c>
      <c r="BC56" s="168" t="str">
        <v>Out of Range</v>
      </c>
      <c r="BE56" s="168">
        <f>40*$BL$16</f>
        <v>4000</v>
      </c>
      <c r="BF56" s="168">
        <v>185.66355334451112</v>
      </c>
      <c r="BG56" s="168">
        <v>4000</v>
      </c>
      <c r="BH56" s="168">
        <v>3368.260877527156</v>
      </c>
      <c r="BI56" s="168">
        <v>0.14592118457789671</v>
      </c>
      <c r="BJ56" s="168">
        <v>9.8995889018887215</v>
      </c>
      <c r="BK56" s="168">
        <v>136.13219084627971</v>
      </c>
      <c r="BL56" s="168">
        <v>0.29184236915579342</v>
      </c>
      <c r="BM56" s="168">
        <v>17.241508848821908</v>
      </c>
      <c r="BN56" s="168" t="str">
        <v>Out of Range</v>
      </c>
      <c r="BO56" s="168" t="str">
        <v>Out of Range</v>
      </c>
    </row>
    <row r="57" spans="2:67" ht="19.8" thickBot="1" x14ac:dyDescent="0.45">
      <c r="B57" s="62"/>
      <c r="C57" s="54" t="s">
        <v>284</v>
      </c>
      <c r="D57" s="54"/>
      <c r="E57" s="211">
        <f>Q90</f>
        <v>185.60411078459217</v>
      </c>
      <c r="F57" s="504">
        <f>U57</f>
        <v>185.60411078459217</v>
      </c>
      <c r="G57" s="505"/>
      <c r="H57" s="197"/>
      <c r="J57" s="209"/>
      <c r="K57" s="209"/>
      <c r="L57" s="54"/>
      <c r="M57" s="141"/>
      <c r="N57" s="54"/>
      <c r="P57" s="54" t="s">
        <v>170</v>
      </c>
      <c r="Q57" s="212">
        <f>INDEX($AO$6:$AO$14,$Q$24)</f>
        <v>10000</v>
      </c>
      <c r="R57" s="247" t="s">
        <v>291</v>
      </c>
      <c r="S57" s="199"/>
      <c r="T57" s="54" t="s">
        <v>285</v>
      </c>
      <c r="U57" s="210">
        <f>IF(Q90="Out of Range","Out of Range",Q90*Q73)</f>
        <v>185.60411078459217</v>
      </c>
      <c r="V57" s="225" t="s">
        <v>313</v>
      </c>
      <c r="Y57" s="61" t="s">
        <v>388</v>
      </c>
      <c r="AS57" s="166">
        <f>45*$BA$16</f>
        <v>4500</v>
      </c>
      <c r="AT57" s="166">
        <f>45*$BA$16*$J$24</f>
        <v>4500</v>
      </c>
      <c r="AU57" s="168">
        <v>208.87149751257499</v>
      </c>
      <c r="AV57" s="168">
        <v>3810.6874877480832</v>
      </c>
      <c r="AW57" s="168">
        <v>0.12364233793956084</v>
      </c>
      <c r="AX57" s="168">
        <v>8.7356088835947556</v>
      </c>
      <c r="AY57" s="168">
        <v>139.47978215023244</v>
      </c>
      <c r="AZ57" s="168">
        <v>0.24728467587912167</v>
      </c>
      <c r="BA57" s="168">
        <v>15.136187350092335</v>
      </c>
      <c r="BB57" s="168" t="str">
        <v>Out of Range</v>
      </c>
      <c r="BC57" s="168" t="str">
        <v>Out of Range</v>
      </c>
      <c r="BE57" s="168">
        <f>45*$BL$16</f>
        <v>4500</v>
      </c>
      <c r="BF57" s="168">
        <v>208.87149751257499</v>
      </c>
      <c r="BG57" s="168">
        <v>4500</v>
      </c>
      <c r="BH57" s="168">
        <v>3810.6874877480832</v>
      </c>
      <c r="BI57" s="168">
        <v>0.12364233793956084</v>
      </c>
      <c r="BJ57" s="168">
        <v>8.7356088835947556</v>
      </c>
      <c r="BK57" s="168">
        <v>139.47978215023244</v>
      </c>
      <c r="BL57" s="168">
        <v>0.24728467587912167</v>
      </c>
      <c r="BM57" s="168">
        <v>15.136187350092335</v>
      </c>
      <c r="BN57" s="168" t="str">
        <v>Out of Range</v>
      </c>
      <c r="BO57" s="168" t="str">
        <v>Out of Range</v>
      </c>
    </row>
    <row r="58" spans="2:67" ht="20.399999999999999" thickBot="1" x14ac:dyDescent="0.45">
      <c r="B58" s="62"/>
      <c r="C58" s="54" t="s">
        <v>241</v>
      </c>
      <c r="D58" s="54"/>
      <c r="E58" s="244"/>
      <c r="F58" s="521"/>
      <c r="G58" s="522"/>
      <c r="H58" s="197"/>
      <c r="I58" s="54"/>
      <c r="J58" s="209"/>
      <c r="K58" s="245"/>
      <c r="L58" s="196"/>
      <c r="M58" s="246"/>
      <c r="N58" s="196"/>
      <c r="P58" s="54" t="s">
        <v>171</v>
      </c>
      <c r="Q58" s="212" t="str">
        <f>IF(Q23=1,"N/A",INDEX($AN$30:$AN$41,$Q$23-1))</f>
        <v>N/A</v>
      </c>
      <c r="R58" s="247" t="s">
        <v>277</v>
      </c>
      <c r="V58" s="85"/>
      <c r="Y58" s="572" t="s">
        <v>372</v>
      </c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4"/>
      <c r="AS58" s="166">
        <f>50*$BA$16</f>
        <v>5000</v>
      </c>
      <c r="AT58" s="166">
        <f>50*$BA$16*$J$24</f>
        <v>5000</v>
      </c>
      <c r="AU58" s="168">
        <v>232.07944168063889</v>
      </c>
      <c r="AV58" s="168">
        <v>4255.4748935203734</v>
      </c>
      <c r="AW58" s="168">
        <v>0.10661166409354926</v>
      </c>
      <c r="AX58" s="168">
        <v>7.8108577090335967</v>
      </c>
      <c r="AY58" s="168">
        <v>142.44701233320373</v>
      </c>
      <c r="AZ58" s="168">
        <v>0.21322332818709852</v>
      </c>
      <c r="BA58" s="168">
        <v>13.4566418048486</v>
      </c>
      <c r="BB58" s="168" t="str">
        <v>Out of Range</v>
      </c>
      <c r="BC58" s="168" t="str">
        <v>Out of Range</v>
      </c>
      <c r="BE58" s="168">
        <f>50*$BL$16</f>
        <v>5000</v>
      </c>
      <c r="BF58" s="168">
        <v>232.07944168063889</v>
      </c>
      <c r="BG58" s="168">
        <v>5000</v>
      </c>
      <c r="BH58" s="367">
        <v>4255.4748935203734</v>
      </c>
      <c r="BI58" s="367">
        <v>0.10661166409354926</v>
      </c>
      <c r="BJ58" s="367">
        <v>7.8108577090335967</v>
      </c>
      <c r="BK58" s="367">
        <v>142.44701233320373</v>
      </c>
      <c r="BL58" s="367">
        <v>0.21322332818709852</v>
      </c>
      <c r="BM58" s="367">
        <v>13.4566418048486</v>
      </c>
      <c r="BN58" s="367" t="str">
        <v>Out of Range</v>
      </c>
      <c r="BO58" s="367" t="str">
        <v>Out of Range</v>
      </c>
    </row>
    <row r="59" spans="2:67" ht="19.5" customHeight="1" thickBot="1" x14ac:dyDescent="0.45">
      <c r="B59" s="62"/>
      <c r="D59" s="186"/>
      <c r="E59" s="186"/>
      <c r="F59" s="186"/>
      <c r="G59" s="186"/>
      <c r="H59" s="186"/>
      <c r="I59" s="186"/>
      <c r="J59" s="248"/>
      <c r="K59" s="196"/>
      <c r="L59" s="60"/>
      <c r="M59" s="189"/>
      <c r="N59" s="60"/>
      <c r="P59" s="54" t="s">
        <v>173</v>
      </c>
      <c r="Q59" s="212">
        <f>IF(Q23=1,Q57,Q58)</f>
        <v>10000</v>
      </c>
      <c r="R59" s="247"/>
      <c r="S59" s="193" t="s">
        <v>186</v>
      </c>
      <c r="W59" s="196"/>
      <c r="Y59" s="580" t="s">
        <v>330</v>
      </c>
      <c r="Z59" s="544" t="s">
        <v>408</v>
      </c>
      <c r="AA59" s="546" t="s">
        <v>373</v>
      </c>
      <c r="AB59" s="547"/>
      <c r="AC59" s="547"/>
      <c r="AD59" s="547"/>
      <c r="AE59" s="547"/>
      <c r="AF59" s="547"/>
      <c r="AG59" s="547"/>
      <c r="AH59" s="548"/>
      <c r="AI59" s="549" t="s">
        <v>397</v>
      </c>
      <c r="AJ59" s="638" t="s">
        <v>267</v>
      </c>
      <c r="AK59" s="639"/>
      <c r="AL59" s="553" t="s">
        <v>399</v>
      </c>
      <c r="AM59" s="554"/>
      <c r="AO59" s="227"/>
      <c r="AS59" s="250">
        <f>60*$BA$16</f>
        <v>6000</v>
      </c>
      <c r="AT59" s="250">
        <f>60*$BA$16*$J$24</f>
        <v>6000</v>
      </c>
      <c r="AU59" s="252">
        <v>278.49533001676667</v>
      </c>
      <c r="AV59" s="252">
        <v>5151.2679659600244</v>
      </c>
      <c r="AW59" s="252">
        <v>8.2495143358299883E-2</v>
      </c>
      <c r="AX59" s="252">
        <v>6.4358845216617748</v>
      </c>
      <c r="AY59" s="252">
        <v>147.50741468426529</v>
      </c>
      <c r="AZ59" s="252">
        <v>0.16499028671659977</v>
      </c>
      <c r="BA59" s="252">
        <v>10.948557454968988</v>
      </c>
      <c r="BB59" s="252" t="str">
        <v>Out of Range</v>
      </c>
      <c r="BC59" s="252" t="str">
        <v>Out of Range</v>
      </c>
      <c r="BE59" s="252">
        <f>60*$BL$16</f>
        <v>6000</v>
      </c>
      <c r="BF59" s="254">
        <v>278.49533001676667</v>
      </c>
      <c r="BG59" s="254">
        <v>6000</v>
      </c>
      <c r="BH59" s="254">
        <v>5151.2679659600244</v>
      </c>
      <c r="BI59" s="254">
        <v>8.2495143358299883E-2</v>
      </c>
      <c r="BJ59" s="254">
        <v>6.4358845216617748</v>
      </c>
      <c r="BK59" s="254">
        <v>147.50741468426529</v>
      </c>
      <c r="BL59" s="254">
        <v>0.16499028671659977</v>
      </c>
      <c r="BM59" s="254">
        <v>10.948557454968988</v>
      </c>
      <c r="BN59" s="254" t="str">
        <v>Out of Range</v>
      </c>
      <c r="BO59" s="254" t="str">
        <v>Out of Range</v>
      </c>
    </row>
    <row r="60" spans="2:67" ht="21" customHeight="1" thickBot="1" x14ac:dyDescent="0.45">
      <c r="B60" s="62"/>
      <c r="C60" s="512" t="s">
        <v>556</v>
      </c>
      <c r="D60" s="512"/>
      <c r="E60" s="512"/>
      <c r="F60" s="512"/>
      <c r="G60" s="512" t="s">
        <v>557</v>
      </c>
      <c r="H60" s="512"/>
      <c r="I60" s="512"/>
      <c r="J60" s="512"/>
      <c r="K60" s="512"/>
      <c r="L60" s="512"/>
      <c r="M60" s="189"/>
      <c r="N60" s="60"/>
      <c r="P60" s="54" t="s">
        <v>260</v>
      </c>
      <c r="R60" s="220"/>
      <c r="S60" s="212"/>
      <c r="T60" s="54" t="s">
        <v>187</v>
      </c>
      <c r="U60" s="210">
        <f>AL125*100</f>
        <v>100</v>
      </c>
      <c r="V60" s="54" t="s">
        <v>314</v>
      </c>
      <c r="Y60" s="543"/>
      <c r="Z60" s="545"/>
      <c r="AA60" s="228" t="s">
        <v>87</v>
      </c>
      <c r="AB60" s="229" t="s">
        <v>88</v>
      </c>
      <c r="AC60" s="229" t="s">
        <v>89</v>
      </c>
      <c r="AD60" s="229" t="s">
        <v>37</v>
      </c>
      <c r="AE60" s="229" t="s">
        <v>90</v>
      </c>
      <c r="AF60" s="229" t="s">
        <v>91</v>
      </c>
      <c r="AG60" s="229" t="s">
        <v>92</v>
      </c>
      <c r="AH60" s="230" t="s">
        <v>93</v>
      </c>
      <c r="AI60" s="550"/>
      <c r="AJ60" s="81" t="s">
        <v>261</v>
      </c>
      <c r="AK60" s="214" t="s">
        <v>262</v>
      </c>
      <c r="AL60" s="555"/>
      <c r="AM60" s="556"/>
      <c r="AO60" s="178"/>
      <c r="AS60" s="53" t="s">
        <v>589</v>
      </c>
      <c r="BE60" s="53" t="s">
        <v>589</v>
      </c>
    </row>
    <row r="61" spans="2:67" ht="18.75" customHeight="1" thickTop="1" x14ac:dyDescent="0.3">
      <c r="B61" s="62"/>
      <c r="C61" s="517" t="s">
        <v>558</v>
      </c>
      <c r="D61" s="517"/>
      <c r="E61" s="517"/>
      <c r="F61" s="518"/>
      <c r="G61" s="519" t="s">
        <v>588</v>
      </c>
      <c r="H61" s="520"/>
      <c r="I61" s="520"/>
      <c r="J61" s="520"/>
      <c r="K61" s="520"/>
      <c r="L61" s="520"/>
      <c r="M61" s="141"/>
      <c r="N61" s="54"/>
      <c r="P61" s="54" t="s">
        <v>170</v>
      </c>
      <c r="Q61" s="212">
        <f>INDEX($AO$16:$AO$24,$Q$24)</f>
        <v>10000</v>
      </c>
      <c r="R61" s="247" t="s">
        <v>290</v>
      </c>
      <c r="S61" s="212"/>
      <c r="T61" s="54" t="s">
        <v>188</v>
      </c>
      <c r="U61" s="210">
        <f>AL133*100</f>
        <v>100</v>
      </c>
      <c r="V61" s="54" t="s">
        <v>315</v>
      </c>
      <c r="Y61" s="231" t="s">
        <v>331</v>
      </c>
      <c r="Z61" s="557">
        <f>ZeffPs</f>
        <v>4.6415888336127775</v>
      </c>
      <c r="AA61" s="232">
        <v>-2.5670999999999999</v>
      </c>
      <c r="AB61" s="233">
        <v>1.5347999999999999</v>
      </c>
      <c r="AC61" s="233">
        <v>0.1313</v>
      </c>
      <c r="AD61" s="233">
        <v>1.8249999999999999E-2</v>
      </c>
      <c r="AE61" s="233">
        <v>3.656E-3</v>
      </c>
      <c r="AF61" s="233">
        <v>-8.6149999999999994E-3</v>
      </c>
      <c r="AG61" s="233">
        <v>0</v>
      </c>
      <c r="AH61" s="234">
        <v>0</v>
      </c>
      <c r="AI61" s="235">
        <f>EXP(AA61+AB61*LN($Z$61)+AC61*(LN($Z$61))^2+AD61*(LN($Z$61))^3+AE61*(LN($Z$61))^4+AF61*(LN($Z$61))^5+AG61*(LN($Z$61))^6+AH61*(LN($Z$61))^7)</f>
        <v>1.1176005280919512</v>
      </c>
      <c r="AJ61" s="236">
        <v>0.2</v>
      </c>
      <c r="AK61" s="237">
        <v>4.5</v>
      </c>
      <c r="AL61" s="563">
        <f>IF(OR($Z$61&lt;AJ61,$Z$61&gt;AK63),"Out of Range",INDEX(AI61:AI63,MATCH(Z61,AJ61:AJ63,1)))</f>
        <v>1.1152239957869239</v>
      </c>
      <c r="AM61" s="564"/>
    </row>
    <row r="62" spans="2:67" ht="15.75" customHeight="1" x14ac:dyDescent="0.3">
      <c r="B62" s="62"/>
      <c r="C62" s="514" t="s">
        <v>561</v>
      </c>
      <c r="D62" s="514"/>
      <c r="E62" s="362">
        <f>IF(E40="Out of Range","Out of Range",U78)</f>
        <v>0.99858588416884664</v>
      </c>
      <c r="G62" s="257"/>
      <c r="H62" s="54"/>
      <c r="J62" s="362">
        <f>IF(E40="Out of Range","Out of Range",U87)</f>
        <v>3.1549267394174074E-2</v>
      </c>
      <c r="K62" s="258"/>
      <c r="L62" s="258"/>
      <c r="M62" s="141"/>
      <c r="N62" s="54"/>
      <c r="P62" s="54" t="s">
        <v>171</v>
      </c>
      <c r="Q62" s="212" t="str">
        <f>IF(Q23=1,"N/A",INDEX($AN$43:$AN$54,$Q$23-1,1))</f>
        <v>N/A</v>
      </c>
      <c r="R62" s="247" t="s">
        <v>278</v>
      </c>
      <c r="S62" s="212"/>
      <c r="T62" s="54" t="s">
        <v>217</v>
      </c>
      <c r="U62" s="210">
        <f>AL142*100</f>
        <v>100</v>
      </c>
      <c r="V62" s="54" t="s">
        <v>316</v>
      </c>
      <c r="X62" s="196"/>
      <c r="Y62" s="238" t="s">
        <v>333</v>
      </c>
      <c r="Z62" s="558"/>
      <c r="AA62" s="239">
        <v>-1.79097</v>
      </c>
      <c r="AB62" s="240">
        <v>-0.44020999999999999</v>
      </c>
      <c r="AC62" s="240">
        <v>2.0140899999999999</v>
      </c>
      <c r="AD62" s="240">
        <v>-0.78100999999999998</v>
      </c>
      <c r="AE62" s="240">
        <v>0.13045000000000001</v>
      </c>
      <c r="AF62" s="240">
        <v>-8.1528999999999994E-3</v>
      </c>
      <c r="AG62" s="240">
        <v>0</v>
      </c>
      <c r="AH62" s="241">
        <v>0</v>
      </c>
      <c r="AI62" s="97">
        <f>EXP(AA62+AB62*LN($Z$61)+AC62*(LN($Z$61))^2+AD62*(LN($Z$61))^3+AE62*(LN($Z$61))^4+AF62*(LN($Z$61))^5+AG62*(LN($Z$61))^6+AH62*(LN($Z$61))^7)</f>
        <v>1.1152239957869239</v>
      </c>
      <c r="AJ62" s="92">
        <v>4.5</v>
      </c>
      <c r="AK62" s="195">
        <v>100</v>
      </c>
      <c r="AL62" s="565"/>
      <c r="AM62" s="566"/>
    </row>
    <row r="63" spans="2:67" ht="20.399999999999999" thickBot="1" x14ac:dyDescent="0.45">
      <c r="B63" s="62"/>
      <c r="C63" s="514" t="s">
        <v>562</v>
      </c>
      <c r="D63" s="514"/>
      <c r="E63" s="362">
        <f>IF(E40="Out of Range","Out of Range",U79)</f>
        <v>0.98820785787720056</v>
      </c>
      <c r="G63" s="257"/>
      <c r="H63" s="259"/>
      <c r="K63" s="54"/>
      <c r="L63" s="54"/>
      <c r="M63" s="141"/>
      <c r="N63" s="54"/>
      <c r="P63" s="54" t="s">
        <v>174</v>
      </c>
      <c r="Q63" s="212">
        <f>IF(Q23=1,Q61,Q62)</f>
        <v>10000</v>
      </c>
      <c r="R63" s="247"/>
      <c r="T63" s="54" t="s">
        <v>189</v>
      </c>
      <c r="U63" s="210">
        <f>100*AL151</f>
        <v>100</v>
      </c>
      <c r="V63" s="54" t="s">
        <v>317</v>
      </c>
      <c r="Y63" s="242" t="s">
        <v>396</v>
      </c>
      <c r="Z63" s="559"/>
      <c r="AA63" s="569" t="s">
        <v>398</v>
      </c>
      <c r="AB63" s="570"/>
      <c r="AC63" s="570"/>
      <c r="AD63" s="570"/>
      <c r="AE63" s="570"/>
      <c r="AF63" s="570"/>
      <c r="AG63" s="570"/>
      <c r="AH63" s="571"/>
      <c r="AI63" s="174">
        <f>0.6559951*$Z$61^1.0478</f>
        <v>3.2766792334403183</v>
      </c>
      <c r="AJ63" s="81">
        <v>100</v>
      </c>
      <c r="AK63" s="214">
        <v>500</v>
      </c>
      <c r="AL63" s="567"/>
      <c r="AM63" s="568"/>
    </row>
    <row r="64" spans="2:67" ht="18.600000000000001" x14ac:dyDescent="0.3">
      <c r="B64" s="62"/>
      <c r="C64" s="514" t="s">
        <v>563</v>
      </c>
      <c r="D64" s="514"/>
      <c r="E64" s="362">
        <f>IF(E40="Out of Range","Out of Range",U80)</f>
        <v>0.89900654191210827</v>
      </c>
      <c r="G64" s="257"/>
      <c r="K64" s="54"/>
      <c r="L64" s="54"/>
      <c r="M64" s="141"/>
      <c r="N64" s="54"/>
      <c r="R64" s="247"/>
      <c r="S64" s="212"/>
      <c r="T64" s="54" t="s">
        <v>190</v>
      </c>
      <c r="U64" s="210">
        <f>100*AL160</f>
        <v>100</v>
      </c>
      <c r="V64" s="54" t="s">
        <v>318</v>
      </c>
      <c r="Y64" s="243"/>
      <c r="Z64" s="243"/>
      <c r="AA64" s="243"/>
    </row>
    <row r="65" spans="2:39" ht="19.2" thickBot="1" x14ac:dyDescent="0.35">
      <c r="B65" s="262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4"/>
      <c r="N65" s="54"/>
      <c r="O65" s="54" t="s">
        <v>294</v>
      </c>
      <c r="R65" s="247"/>
      <c r="S65" s="212"/>
      <c r="T65" s="54" t="s">
        <v>191</v>
      </c>
      <c r="U65" s="210">
        <f>100*AL169</f>
        <v>100</v>
      </c>
      <c r="V65" s="54" t="s">
        <v>319</v>
      </c>
      <c r="Y65" s="61" t="s">
        <v>389</v>
      </c>
      <c r="Z65" s="243"/>
      <c r="AA65" s="243"/>
      <c r="AB65" s="243"/>
      <c r="AC65" s="243"/>
      <c r="AD65" s="243"/>
      <c r="AE65" s="243"/>
      <c r="AF65" s="243"/>
      <c r="AG65" s="53"/>
      <c r="AH65" s="53"/>
    </row>
    <row r="66" spans="2:39" ht="19.2" thickTop="1" thickBot="1" x14ac:dyDescent="0.45">
      <c r="C66" s="516" t="s">
        <v>618</v>
      </c>
      <c r="D66" s="516"/>
      <c r="E66" s="516"/>
      <c r="F66" s="516"/>
      <c r="G66" s="516"/>
      <c r="H66" s="516"/>
      <c r="I66" s="516"/>
      <c r="J66" s="516"/>
      <c r="K66" s="516"/>
      <c r="L66" s="516"/>
      <c r="P66" s="85" t="s">
        <v>521</v>
      </c>
      <c r="Q66" s="105">
        <f>IF($T$27="Pressure (psi)",Q35,14.696*EXP(-0.000037688*Q34))</f>
        <v>14.696</v>
      </c>
      <c r="R66" s="247" t="s">
        <v>271</v>
      </c>
      <c r="S66" s="212"/>
      <c r="Y66" s="572" t="s">
        <v>382</v>
      </c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4"/>
    </row>
    <row r="67" spans="2:39" ht="19.5" customHeight="1" thickBot="1" x14ac:dyDescent="0.35">
      <c r="C67" s="54"/>
      <c r="D67" s="54"/>
      <c r="E67" s="90"/>
      <c r="F67" s="90"/>
      <c r="P67" s="54" t="s">
        <v>522</v>
      </c>
      <c r="Q67" s="105">
        <f>IF($T$27="Altitude (feet)",Q34,-26533.64*LN(Q35/$U$31))</f>
        <v>0</v>
      </c>
      <c r="R67" s="247" t="s">
        <v>271</v>
      </c>
      <c r="S67" s="193" t="s">
        <v>29</v>
      </c>
      <c r="Y67" s="542" t="s">
        <v>330</v>
      </c>
      <c r="Z67" s="544" t="s">
        <v>408</v>
      </c>
      <c r="AA67" s="546" t="s">
        <v>374</v>
      </c>
      <c r="AB67" s="547"/>
      <c r="AC67" s="547"/>
      <c r="AD67" s="547"/>
      <c r="AE67" s="547"/>
      <c r="AF67" s="547"/>
      <c r="AG67" s="547"/>
      <c r="AH67" s="548"/>
      <c r="AI67" s="549" t="s">
        <v>397</v>
      </c>
      <c r="AJ67" s="551" t="s">
        <v>267</v>
      </c>
      <c r="AK67" s="552"/>
      <c r="AL67" s="553" t="s">
        <v>399</v>
      </c>
      <c r="AM67" s="554"/>
    </row>
    <row r="68" spans="2:39" ht="19.2" thickBot="1" x14ac:dyDescent="0.35">
      <c r="C68" s="54"/>
      <c r="D68" s="54"/>
      <c r="P68" s="85" t="s">
        <v>219</v>
      </c>
      <c r="Q68" s="105">
        <f>(5/9)*(J22-32)</f>
        <v>15</v>
      </c>
      <c r="R68" s="247"/>
      <c r="T68" s="54" t="s">
        <v>516</v>
      </c>
      <c r="U68" s="210">
        <f>AL177</f>
        <v>4.6408817253981249</v>
      </c>
      <c r="V68" s="265" t="s">
        <v>453</v>
      </c>
      <c r="Y68" s="543"/>
      <c r="Z68" s="545"/>
      <c r="AA68" s="228" t="s">
        <v>87</v>
      </c>
      <c r="AB68" s="229" t="s">
        <v>88</v>
      </c>
      <c r="AC68" s="229" t="s">
        <v>89</v>
      </c>
      <c r="AD68" s="229" t="s">
        <v>37</v>
      </c>
      <c r="AE68" s="229" t="s">
        <v>90</v>
      </c>
      <c r="AF68" s="229" t="s">
        <v>91</v>
      </c>
      <c r="AG68" s="229" t="s">
        <v>92</v>
      </c>
      <c r="AH68" s="230" t="s">
        <v>93</v>
      </c>
      <c r="AI68" s="550"/>
      <c r="AJ68" s="81" t="s">
        <v>261</v>
      </c>
      <c r="AK68" s="81" t="s">
        <v>262</v>
      </c>
      <c r="AL68" s="555"/>
      <c r="AM68" s="556"/>
    </row>
    <row r="69" spans="2:39" ht="16.2" thickTop="1" x14ac:dyDescent="0.3">
      <c r="C69" s="54"/>
      <c r="D69" s="54"/>
      <c r="P69" s="85" t="s">
        <v>220</v>
      </c>
      <c r="Q69" s="266">
        <f>Q68+273.16</f>
        <v>288.16000000000003</v>
      </c>
      <c r="R69" s="247"/>
      <c r="T69" s="267" t="s">
        <v>192</v>
      </c>
      <c r="U69" s="77"/>
      <c r="V69" s="265"/>
      <c r="W69" s="265"/>
      <c r="Y69" s="231" t="s">
        <v>335</v>
      </c>
      <c r="Z69" s="557">
        <f>ZeffPs</f>
        <v>4.6415888336127775</v>
      </c>
      <c r="AA69" s="232">
        <v>6.9137000000000004</v>
      </c>
      <c r="AB69" s="233">
        <v>-1.4398</v>
      </c>
      <c r="AC69" s="233">
        <v>-0.28149999999999997</v>
      </c>
      <c r="AD69" s="233">
        <v>-0.1416</v>
      </c>
      <c r="AE69" s="233">
        <v>6.8500000000000005E-2</v>
      </c>
      <c r="AF69" s="233">
        <v>0</v>
      </c>
      <c r="AG69" s="233">
        <v>0</v>
      </c>
      <c r="AH69" s="234">
        <v>0</v>
      </c>
      <c r="AI69" s="235">
        <f>EXP(AA69+AB69*LN($Z$69)+AC69*(LN($Z$69))^2+AD69*(LN($Z$69))^3+AE69*(LN($Z$69))^4+AF69*(LN($Z$69))^5+AG69*(LN($Z$69))^6+AH69*(LN($Z$69))^7)</f>
        <v>49.817025286380328</v>
      </c>
      <c r="AJ69" s="236">
        <v>0.5</v>
      </c>
      <c r="AK69" s="237">
        <v>7.25</v>
      </c>
      <c r="AL69" s="563">
        <f>IF(OR($Z$69&lt;AJ69,$Z$69&gt;AK71),"Out of Range",INDEX(AI69:AI71,MATCH(Z69,AJ69:AJ71,1)))</f>
        <v>49.817025286380328</v>
      </c>
      <c r="AM69" s="564"/>
    </row>
    <row r="70" spans="2:39" ht="18" x14ac:dyDescent="0.4">
      <c r="C70" s="54"/>
      <c r="D70" s="54"/>
      <c r="I70" s="193"/>
      <c r="P70" s="85" t="s">
        <v>166</v>
      </c>
      <c r="Q70" s="269">
        <f>($Q$66/$U$31)</f>
        <v>1</v>
      </c>
      <c r="R70" s="247" t="s">
        <v>279</v>
      </c>
      <c r="T70" s="77" t="s">
        <v>201</v>
      </c>
      <c r="U70" s="210">
        <f>13.051 - 3.3*LN(U68)</f>
        <v>7.985815561804448</v>
      </c>
      <c r="V70" s="265" t="s">
        <v>320</v>
      </c>
      <c r="W70" s="265"/>
      <c r="Y70" s="238" t="s">
        <v>337</v>
      </c>
      <c r="Z70" s="558"/>
      <c r="AA70" s="239">
        <v>8.8034999999999997</v>
      </c>
      <c r="AB70" s="240">
        <v>-3.7000999999999999</v>
      </c>
      <c r="AC70" s="240">
        <v>0.27089999999999997</v>
      </c>
      <c r="AD70" s="240">
        <v>7.3300000000000004E-2</v>
      </c>
      <c r="AE70" s="240">
        <v>-1.2699999999999999E-2</v>
      </c>
      <c r="AF70" s="240">
        <v>0</v>
      </c>
      <c r="AG70" s="240">
        <v>0</v>
      </c>
      <c r="AH70" s="241">
        <v>0</v>
      </c>
      <c r="AI70" s="97">
        <f>EXP(AA70+AB70*LN($Z$69)+AC70*(LN($Z$69))^2+AD70*(LN($Z$69))^3+AE70*(LN($Z$69))^4+AF70*(LN($Z$69))^5+AG70*(LN($Z$69))^6+AH70*(LN($Z$69))^7)</f>
        <v>52.279698565258165</v>
      </c>
      <c r="AJ70" s="92">
        <v>7.25</v>
      </c>
      <c r="AK70" s="195">
        <v>60</v>
      </c>
      <c r="AL70" s="565"/>
      <c r="AM70" s="566"/>
    </row>
    <row r="71" spans="2:39" ht="18.75" customHeight="1" thickBot="1" x14ac:dyDescent="0.45">
      <c r="I71" s="66"/>
      <c r="J71" s="77"/>
      <c r="K71" s="77"/>
      <c r="P71" s="85" t="s">
        <v>167</v>
      </c>
      <c r="Q71" s="269">
        <f>($U$31/$Q$66)^0.3333333333</f>
        <v>1</v>
      </c>
      <c r="R71" s="247" t="s">
        <v>280</v>
      </c>
      <c r="T71" s="77" t="s">
        <v>202</v>
      </c>
      <c r="U71" s="210">
        <f>12.636 - 3.5*LN(U68)</f>
        <v>7.2638346867622916</v>
      </c>
      <c r="V71" s="265" t="s">
        <v>321</v>
      </c>
      <c r="W71" s="265"/>
      <c r="Y71" s="242" t="s">
        <v>339</v>
      </c>
      <c r="Z71" s="559"/>
      <c r="AA71" s="260">
        <v>5.4233000000000002</v>
      </c>
      <c r="AB71" s="260">
        <v>-1.4066000000000001</v>
      </c>
      <c r="AC71" s="260">
        <v>0</v>
      </c>
      <c r="AD71" s="260">
        <v>0</v>
      </c>
      <c r="AE71" s="260">
        <v>0</v>
      </c>
      <c r="AF71" s="260">
        <v>0</v>
      </c>
      <c r="AG71" s="260">
        <v>0</v>
      </c>
      <c r="AH71" s="261">
        <v>0</v>
      </c>
      <c r="AI71" s="174">
        <f>EXP(AA71+AB71*LN($Z$69)+AC71*(LN($Z$69))^2+AD71*(LN($Z$69))^3+AE71*(LN($Z$69))^4+AF71*(LN($Z$69))^5+AG71*(LN($Z$69))^6+AH71*(LN($Z$69))^7)</f>
        <v>26.156277144272018</v>
      </c>
      <c r="AJ71" s="81">
        <v>60</v>
      </c>
      <c r="AK71" s="214">
        <v>500</v>
      </c>
      <c r="AL71" s="567"/>
      <c r="AM71" s="568"/>
    </row>
    <row r="72" spans="2:39" ht="18" x14ac:dyDescent="0.4">
      <c r="I72" s="66"/>
      <c r="J72" s="77"/>
      <c r="K72" s="77"/>
      <c r="P72" s="85" t="s">
        <v>168</v>
      </c>
      <c r="Q72" s="269">
        <f>(($U$31/$Q$66)^0.3333333333)*(288.16/$Q$69)^0.5</f>
        <v>1</v>
      </c>
      <c r="R72" s="247" t="s">
        <v>281</v>
      </c>
      <c r="T72" s="77" t="s">
        <v>203</v>
      </c>
      <c r="U72" s="210">
        <f>12.876-4.3*LN(U68)</f>
        <v>6.2759111865936736</v>
      </c>
      <c r="V72" s="265" t="s">
        <v>322</v>
      </c>
      <c r="W72" s="265"/>
      <c r="Y72" s="243"/>
      <c r="Z72" s="243"/>
      <c r="AA72" s="243"/>
      <c r="AB72" s="243"/>
      <c r="AC72" s="243"/>
      <c r="AD72" s="243"/>
      <c r="AE72" s="243"/>
      <c r="AF72" s="243"/>
      <c r="AG72" s="53"/>
      <c r="AH72" s="53"/>
    </row>
    <row r="73" spans="2:39" ht="18.600000000000001" thickBot="1" x14ac:dyDescent="0.45">
      <c r="I73" s="66"/>
      <c r="J73" s="77"/>
      <c r="K73" s="77"/>
      <c r="P73" s="85" t="s">
        <v>169</v>
      </c>
      <c r="Q73" s="269">
        <f>(($Q$66/$U$31)^0.666666666)*(288.16/$Q$69)^0.5</f>
        <v>1</v>
      </c>
      <c r="R73" s="247" t="s">
        <v>282</v>
      </c>
      <c r="T73" s="221" t="s">
        <v>204</v>
      </c>
      <c r="U73" s="210"/>
      <c r="W73" s="265"/>
      <c r="Y73" s="61" t="s">
        <v>390</v>
      </c>
      <c r="Z73" s="243"/>
      <c r="AA73" s="243"/>
      <c r="AB73" s="243"/>
      <c r="AC73" s="243"/>
      <c r="AD73" s="243"/>
      <c r="AE73" s="243"/>
      <c r="AF73" s="243"/>
      <c r="AG73" s="243"/>
      <c r="AH73" s="53"/>
    </row>
    <row r="74" spans="2:39" ht="18.600000000000001" thickBot="1" x14ac:dyDescent="0.45">
      <c r="R74" s="247"/>
      <c r="T74" s="77" t="s">
        <v>201</v>
      </c>
      <c r="U74" s="210">
        <f>U70-5</f>
        <v>2.985815561804448</v>
      </c>
      <c r="V74" s="54" t="s">
        <v>323</v>
      </c>
      <c r="Y74" s="572" t="s">
        <v>383</v>
      </c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4"/>
    </row>
    <row r="75" spans="2:39" ht="19.5" customHeight="1" thickBot="1" x14ac:dyDescent="0.35">
      <c r="I75" s="66"/>
      <c r="O75" s="54" t="s">
        <v>295</v>
      </c>
      <c r="P75" s="193"/>
      <c r="R75" s="247"/>
      <c r="T75" s="77" t="s">
        <v>202</v>
      </c>
      <c r="U75" s="210">
        <f>U71-5</f>
        <v>2.2638346867622916</v>
      </c>
      <c r="V75" s="54" t="s">
        <v>323</v>
      </c>
      <c r="Y75" s="542" t="s">
        <v>330</v>
      </c>
      <c r="Z75" s="544" t="s">
        <v>408</v>
      </c>
      <c r="AA75" s="546" t="s">
        <v>375</v>
      </c>
      <c r="AB75" s="547"/>
      <c r="AC75" s="547"/>
      <c r="AD75" s="547"/>
      <c r="AE75" s="547"/>
      <c r="AF75" s="547"/>
      <c r="AG75" s="547"/>
      <c r="AH75" s="548"/>
      <c r="AI75" s="549" t="s">
        <v>397</v>
      </c>
      <c r="AJ75" s="551" t="s">
        <v>267</v>
      </c>
      <c r="AK75" s="552"/>
      <c r="AL75" s="553" t="s">
        <v>399</v>
      </c>
      <c r="AM75" s="554"/>
    </row>
    <row r="76" spans="2:39" ht="16.2" thickBot="1" x14ac:dyDescent="0.35">
      <c r="P76" s="54" t="s">
        <v>242</v>
      </c>
      <c r="Q76" s="109">
        <f>Q33/Q71</f>
        <v>100</v>
      </c>
      <c r="R76" s="247" t="s">
        <v>283</v>
      </c>
      <c r="T76" s="77" t="s">
        <v>203</v>
      </c>
      <c r="U76" s="210">
        <f>U72-5</f>
        <v>1.2759111865936736</v>
      </c>
      <c r="V76" s="54" t="s">
        <v>323</v>
      </c>
      <c r="Y76" s="543"/>
      <c r="Z76" s="545"/>
      <c r="AA76" s="228" t="s">
        <v>87</v>
      </c>
      <c r="AB76" s="229" t="s">
        <v>88</v>
      </c>
      <c r="AC76" s="229" t="s">
        <v>89</v>
      </c>
      <c r="AD76" s="229" t="s">
        <v>37</v>
      </c>
      <c r="AE76" s="229" t="s">
        <v>90</v>
      </c>
      <c r="AF76" s="229" t="s">
        <v>91</v>
      </c>
      <c r="AG76" s="229" t="s">
        <v>92</v>
      </c>
      <c r="AH76" s="230" t="s">
        <v>93</v>
      </c>
      <c r="AI76" s="550"/>
      <c r="AJ76" s="81" t="s">
        <v>261</v>
      </c>
      <c r="AK76" s="81" t="s">
        <v>262</v>
      </c>
      <c r="AL76" s="555"/>
      <c r="AM76" s="556"/>
    </row>
    <row r="77" spans="2:39" ht="20.399999999999999" thickTop="1" x14ac:dyDescent="0.4">
      <c r="P77" s="54" t="s">
        <v>175</v>
      </c>
      <c r="Q77" s="109">
        <f>Q49/Q71</f>
        <v>4.6415888336127775</v>
      </c>
      <c r="R77" s="247" t="s">
        <v>268</v>
      </c>
      <c r="T77" s="221" t="s">
        <v>205</v>
      </c>
      <c r="U77" s="210"/>
      <c r="Y77" s="268" t="s">
        <v>341</v>
      </c>
      <c r="Z77" s="557">
        <f>ZeffPs</f>
        <v>4.6415888336127775</v>
      </c>
      <c r="AA77" s="232">
        <v>9.0794999999999995</v>
      </c>
      <c r="AB77" s="233">
        <v>-1.7511000000000001</v>
      </c>
      <c r="AC77" s="233">
        <v>-0.28770000000000001</v>
      </c>
      <c r="AD77" s="233">
        <v>-0.21990000000000001</v>
      </c>
      <c r="AE77" s="233">
        <v>-1.2800000000000001E-2</v>
      </c>
      <c r="AF77" s="233">
        <v>6.9599999999999995E-2</v>
      </c>
      <c r="AG77" s="233">
        <v>-1.18E-2</v>
      </c>
      <c r="AH77" s="234">
        <v>0</v>
      </c>
      <c r="AI77" s="235">
        <f>EXP(AA77+AB77*LN($Z$77)+AC77*(LN($Z$77))^2+AD77*(LN($Z$77))^3+AE77*(LN($Z$77))^4+AF77*(LN($Z$77))^5+AG77*(LN($Z$77))^6+AH77*(LN($Z$77))^7)</f>
        <v>197.52732071686981</v>
      </c>
      <c r="AJ77" s="236">
        <v>0.3</v>
      </c>
      <c r="AK77" s="237">
        <v>4</v>
      </c>
      <c r="AL77" s="563">
        <f>IF(OR($Z$77&lt;AJ77,$Z$77&gt;AK79),"Out of Range",INDEX(AI77:AI79,MATCH(Z77,AJ77:AJ79,1)))</f>
        <v>196.98158491170912</v>
      </c>
      <c r="AM77" s="564"/>
    </row>
    <row r="78" spans="2:39" ht="18.75" customHeight="1" x14ac:dyDescent="0.3">
      <c r="P78" s="221" t="s">
        <v>176</v>
      </c>
      <c r="R78" s="247"/>
      <c r="T78" s="77" t="s">
        <v>206</v>
      </c>
      <c r="U78" s="210">
        <f>NORMSDIST(U74)</f>
        <v>0.99858588416884664</v>
      </c>
      <c r="V78" s="278" t="s">
        <v>324</v>
      </c>
      <c r="Y78" s="270" t="s">
        <v>343</v>
      </c>
      <c r="Z78" s="558"/>
      <c r="AA78" s="239">
        <v>5.1515000000000004</v>
      </c>
      <c r="AB78" s="240">
        <v>9.1582600000000003</v>
      </c>
      <c r="AC78" s="240">
        <v>-11.85735</v>
      </c>
      <c r="AD78" s="240">
        <v>5.5675400000000002</v>
      </c>
      <c r="AE78" s="240">
        <v>-1.3345499999999999</v>
      </c>
      <c r="AF78" s="240">
        <v>0.16333</v>
      </c>
      <c r="AG78" s="240">
        <v>-8.1810000000000008E-3</v>
      </c>
      <c r="AH78" s="241">
        <v>0</v>
      </c>
      <c r="AI78" s="97">
        <f>EXP(AA78+AB78*LN($Z$77)+AC78*(LN($Z$77))^2+AD78*(LN($Z$77))^3+AE78*(LN($Z$77))^4+AF78*(LN($Z$77))^5+AG78*(LN($Z$77))^6+AH78*(LN($Z$77))^7)</f>
        <v>196.98158491170912</v>
      </c>
      <c r="AJ78" s="92">
        <v>4</v>
      </c>
      <c r="AK78" s="195">
        <v>100</v>
      </c>
      <c r="AL78" s="565"/>
      <c r="AM78" s="566"/>
    </row>
    <row r="79" spans="2:39" ht="20.25" customHeight="1" thickBot="1" x14ac:dyDescent="0.45">
      <c r="P79" s="54" t="s">
        <v>538</v>
      </c>
      <c r="Q79" s="109">
        <f>Q76/Q59^(1/3)</f>
        <v>4.6415888336127775</v>
      </c>
      <c r="R79" s="247" t="s">
        <v>269</v>
      </c>
      <c r="T79" s="77" t="s">
        <v>207</v>
      </c>
      <c r="U79" s="210">
        <f>NORMSDIST(U75)</f>
        <v>0.98820785787720056</v>
      </c>
      <c r="V79" s="278"/>
      <c r="W79" s="278"/>
      <c r="Y79" s="242" t="s">
        <v>409</v>
      </c>
      <c r="Z79" s="559"/>
      <c r="AA79" s="569" t="s">
        <v>410</v>
      </c>
      <c r="AB79" s="570"/>
      <c r="AC79" s="570"/>
      <c r="AD79" s="570"/>
      <c r="AE79" s="570"/>
      <c r="AF79" s="570"/>
      <c r="AG79" s="570"/>
      <c r="AH79" s="571"/>
      <c r="AI79" s="174">
        <f>2*Psos</f>
        <v>99.634050572760657</v>
      </c>
      <c r="AJ79" s="81">
        <v>100</v>
      </c>
      <c r="AK79" s="214">
        <v>500</v>
      </c>
      <c r="AL79" s="567"/>
      <c r="AM79" s="568"/>
    </row>
    <row r="80" spans="2:39" ht="19.8" x14ac:dyDescent="0.4">
      <c r="P80" s="54" t="s">
        <v>539</v>
      </c>
      <c r="Q80" s="109">
        <f>Q76/Q63^(1/3)</f>
        <v>4.6415888336127775</v>
      </c>
      <c r="R80" s="247" t="s">
        <v>270</v>
      </c>
      <c r="T80" s="77" t="s">
        <v>208</v>
      </c>
      <c r="U80" s="210">
        <f>NORMSDIST(U76)</f>
        <v>0.89900654191210827</v>
      </c>
      <c r="V80" s="278"/>
      <c r="W80" s="278"/>
      <c r="Y80" s="243"/>
      <c r="Z80" s="243"/>
      <c r="AA80" s="243"/>
      <c r="AB80" s="243"/>
      <c r="AC80" s="243"/>
      <c r="AD80" s="243"/>
      <c r="AE80" s="243"/>
      <c r="AF80" s="243"/>
      <c r="AG80" s="53"/>
      <c r="AH80" s="53"/>
    </row>
    <row r="81" spans="15:39" ht="18.600000000000001" thickBot="1" x14ac:dyDescent="0.35">
      <c r="P81" s="221" t="s">
        <v>244</v>
      </c>
      <c r="R81" s="247"/>
      <c r="W81" s="278"/>
      <c r="Y81" s="61" t="s">
        <v>391</v>
      </c>
      <c r="Z81" s="53"/>
      <c r="AA81" s="53"/>
      <c r="AB81" s="53"/>
      <c r="AC81" s="53"/>
      <c r="AD81" s="53"/>
      <c r="AE81" s="53"/>
      <c r="AF81" s="53"/>
      <c r="AG81" s="53"/>
      <c r="AH81" s="53"/>
    </row>
    <row r="82" spans="15:39" ht="20.399999999999999" thickBot="1" x14ac:dyDescent="0.45">
      <c r="P82" s="54" t="s">
        <v>193</v>
      </c>
      <c r="Q82" s="282">
        <f>IF(AL61="out of range",AL61,AL61*Q59^(1/3))</f>
        <v>24.026772636793208</v>
      </c>
      <c r="R82" s="247" t="s">
        <v>297</v>
      </c>
      <c r="S82" s="193" t="s">
        <v>209</v>
      </c>
      <c r="Y82" s="572" t="s">
        <v>384</v>
      </c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4"/>
    </row>
    <row r="83" spans="15:39" ht="20.25" customHeight="1" thickBot="1" x14ac:dyDescent="0.45">
      <c r="P83" s="54" t="s">
        <v>194</v>
      </c>
      <c r="Q83" s="282">
        <f>AL69</f>
        <v>49.817025286380328</v>
      </c>
      <c r="R83" s="247" t="s">
        <v>298</v>
      </c>
      <c r="T83" s="53" t="s">
        <v>519</v>
      </c>
      <c r="U83" s="210">
        <f>IF(OR(Psos="Out of Range",Q89="Out of Range"),0.00001,(Psos+Q89)*0.01)</f>
        <v>0.89939667013806823</v>
      </c>
      <c r="V83" s="54" t="s">
        <v>325</v>
      </c>
      <c r="Y83" s="542" t="s">
        <v>330</v>
      </c>
      <c r="Z83" s="544" t="s">
        <v>411</v>
      </c>
      <c r="AA83" s="546" t="s">
        <v>376</v>
      </c>
      <c r="AB83" s="547"/>
      <c r="AC83" s="547"/>
      <c r="AD83" s="547"/>
      <c r="AE83" s="547"/>
      <c r="AF83" s="547"/>
      <c r="AG83" s="547"/>
      <c r="AH83" s="548"/>
      <c r="AI83" s="549" t="s">
        <v>397</v>
      </c>
      <c r="AJ83" s="551" t="s">
        <v>267</v>
      </c>
      <c r="AK83" s="552"/>
      <c r="AL83" s="553" t="s">
        <v>399</v>
      </c>
      <c r="AM83" s="554"/>
    </row>
    <row r="84" spans="15:39" ht="18.600000000000001" thickBot="1" x14ac:dyDescent="0.45">
      <c r="P84" s="54" t="s">
        <v>195</v>
      </c>
      <c r="Q84" s="210">
        <f>IF(Psos="Out of Range","Out of Range",20*LOG10(Q83)+170.7496)</f>
        <v>204.69715582078172</v>
      </c>
      <c r="R84" s="247" t="s">
        <v>299</v>
      </c>
      <c r="T84" s="53" t="s">
        <v>520</v>
      </c>
      <c r="U84" s="210">
        <f>Q87*0.001*0.7673</f>
        <v>0.26842375578486966</v>
      </c>
      <c r="V84" s="54" t="s">
        <v>326</v>
      </c>
      <c r="Y84" s="543"/>
      <c r="Z84" s="545"/>
      <c r="AA84" s="228" t="s">
        <v>87</v>
      </c>
      <c r="AB84" s="229" t="s">
        <v>88</v>
      </c>
      <c r="AC84" s="229" t="s">
        <v>89</v>
      </c>
      <c r="AD84" s="229" t="s">
        <v>37</v>
      </c>
      <c r="AE84" s="229" t="s">
        <v>90</v>
      </c>
      <c r="AF84" s="229" t="s">
        <v>91</v>
      </c>
      <c r="AG84" s="229" t="s">
        <v>92</v>
      </c>
      <c r="AH84" s="230" t="s">
        <v>93</v>
      </c>
      <c r="AI84" s="550"/>
      <c r="AJ84" s="81" t="s">
        <v>261</v>
      </c>
      <c r="AK84" s="81" t="s">
        <v>262</v>
      </c>
      <c r="AL84" s="555"/>
      <c r="AM84" s="556"/>
    </row>
    <row r="85" spans="15:39" ht="18.600000000000001" thickTop="1" x14ac:dyDescent="0.4">
      <c r="P85" s="85" t="s">
        <v>196</v>
      </c>
      <c r="Q85" s="210">
        <f>AL77</f>
        <v>196.98158491170912</v>
      </c>
      <c r="R85" s="247" t="s">
        <v>300</v>
      </c>
      <c r="T85" s="54" t="s">
        <v>212</v>
      </c>
      <c r="U85" s="210">
        <f>0.61/U83+0.189/U84</f>
        <v>1.3823429983585795</v>
      </c>
      <c r="V85" s="54" t="s">
        <v>327</v>
      </c>
      <c r="Y85" s="271" t="s">
        <v>345</v>
      </c>
      <c r="Z85" s="557">
        <f>ZeffIs</f>
        <v>4.6415888336127775</v>
      </c>
      <c r="AA85" s="272">
        <v>-1.7221</v>
      </c>
      <c r="AB85" s="273">
        <v>0.45</v>
      </c>
      <c r="AC85" s="273">
        <v>1.3552</v>
      </c>
      <c r="AD85" s="273">
        <v>1.1249</v>
      </c>
      <c r="AE85" s="273">
        <v>-5.7729999999999997E-2</v>
      </c>
      <c r="AF85" s="273">
        <v>-0.60799999999999998</v>
      </c>
      <c r="AG85" s="273">
        <v>0</v>
      </c>
      <c r="AH85" s="274">
        <v>0</v>
      </c>
      <c r="AI85" s="275">
        <f>EXP(AA85+AB85*LN($Z$85)+AC85*(LN($Z$85))^2+AD85*(LN($Z$85))^3+AE85*(LN($Z$85))^4+AF85*(LN($Z$85))^5+AG85*(LN($Z$85))^6+AH85*(LN($Z$85))^7)</f>
        <v>2.0712921568806628</v>
      </c>
      <c r="AJ85" s="276">
        <v>0.5</v>
      </c>
      <c r="AK85" s="277">
        <v>2.5</v>
      </c>
      <c r="AL85" s="563">
        <f>IF(OR($Z$85&lt;AJ85,$Z$85&gt;AK88),"Out of Range",INDEX(AI85:AI88,MATCH(Z85,AJ85:AJ88,1)))</f>
        <v>1.5692552864752645</v>
      </c>
      <c r="AM85" s="564"/>
    </row>
    <row r="86" spans="15:39" ht="19.5" customHeight="1" x14ac:dyDescent="0.4">
      <c r="P86" s="54" t="s">
        <v>197</v>
      </c>
      <c r="Q86" s="269">
        <f>IF(AL85="out of range",AL85,AL85*Q63^(1/3))</f>
        <v>33.808580266982318</v>
      </c>
      <c r="R86" s="247" t="s">
        <v>301</v>
      </c>
      <c r="T86" s="54" t="s">
        <v>213</v>
      </c>
      <c r="U86" s="210">
        <f>-5.74*LN(U85)</f>
        <v>-1.8584965364058184</v>
      </c>
      <c r="V86" s="54" t="s">
        <v>328</v>
      </c>
      <c r="Y86" s="270" t="s">
        <v>347</v>
      </c>
      <c r="Z86" s="558"/>
      <c r="AA86" s="232">
        <v>-18.770099999999999</v>
      </c>
      <c r="AB86" s="233">
        <v>55.051299999999998</v>
      </c>
      <c r="AC86" s="233">
        <v>-60.434800000000003</v>
      </c>
      <c r="AD86" s="233">
        <v>32.023600000000002</v>
      </c>
      <c r="AE86" s="233">
        <v>-8.3255999999999997</v>
      </c>
      <c r="AF86" s="233">
        <v>0.88170000000000004</v>
      </c>
      <c r="AG86" s="233">
        <v>0</v>
      </c>
      <c r="AH86" s="234">
        <v>0</v>
      </c>
      <c r="AI86" s="97">
        <f>EXP(AA86+AB86*LN($Z$85)+AC86*(LN($Z$85))^2+AD86*(LN($Z$85))^3+AE86*(LN($Z$85))^4+AF86*(LN($Z$85))^5+AG86*(LN($Z$85))^6+AH86*(LN($Z$85))^7)</f>
        <v>1.5692552864752645</v>
      </c>
      <c r="AJ86" s="92">
        <v>2.5</v>
      </c>
      <c r="AK86" s="195">
        <v>7</v>
      </c>
      <c r="AL86" s="565"/>
      <c r="AM86" s="566"/>
    </row>
    <row r="87" spans="15:39" ht="19.5" customHeight="1" x14ac:dyDescent="0.4">
      <c r="P87" s="54" t="s">
        <v>198</v>
      </c>
      <c r="Q87" s="282">
        <f>IF(AL96="out of range",AL96,AL96*Q63^(1/3))</f>
        <v>349.82895319284455</v>
      </c>
      <c r="R87" s="247" t="s">
        <v>302</v>
      </c>
      <c r="T87" s="54" t="s">
        <v>214</v>
      </c>
      <c r="U87" s="210">
        <f>NORMSDIST(U86)</f>
        <v>3.1549267394174074E-2</v>
      </c>
      <c r="V87" s="278" t="s">
        <v>329</v>
      </c>
      <c r="Y87" s="270" t="s">
        <v>349</v>
      </c>
      <c r="Z87" s="558"/>
      <c r="AA87" s="232">
        <v>-13.059699999999999</v>
      </c>
      <c r="AB87" s="233">
        <v>19.7806</v>
      </c>
      <c r="AC87" s="233">
        <v>-11.297499999999999</v>
      </c>
      <c r="AD87" s="233">
        <v>3.2551999999999999</v>
      </c>
      <c r="AE87" s="233">
        <v>-0.4647</v>
      </c>
      <c r="AF87" s="233">
        <v>2.6239999999999999E-2</v>
      </c>
      <c r="AG87" s="233">
        <v>0</v>
      </c>
      <c r="AH87" s="234">
        <v>0</v>
      </c>
      <c r="AI87" s="97">
        <f>EXP(AA87+AB87*LN($Z$85)+AC87*(LN($Z$85))^2+AD87*(LN($Z$85))^3+AE87*(LN($Z$85))^4+AF87*(LN($Z$85))^5+AG87*(LN($Z$85))^6+AH87*(LN($Z$85))^7)</f>
        <v>1.1066213186388532</v>
      </c>
      <c r="AJ87" s="92">
        <v>7</v>
      </c>
      <c r="AK87" s="195">
        <v>100</v>
      </c>
      <c r="AL87" s="565"/>
      <c r="AM87" s="566"/>
    </row>
    <row r="88" spans="15:39" ht="18.600000000000001" thickBot="1" x14ac:dyDescent="0.45">
      <c r="P88" s="54" t="s">
        <v>199</v>
      </c>
      <c r="Q88" s="282">
        <f>IF(AL105="out of range",AL105,AL105*Q63^(1/3))</f>
        <v>967.04262786337836</v>
      </c>
      <c r="R88" s="247" t="s">
        <v>303</v>
      </c>
      <c r="V88" s="278"/>
      <c r="W88" s="278"/>
      <c r="Y88" s="279" t="s">
        <v>351</v>
      </c>
      <c r="Z88" s="559"/>
      <c r="AA88" s="280">
        <v>-4.4685999999999997E-2</v>
      </c>
      <c r="AB88" s="281">
        <v>0.51212999999999997</v>
      </c>
      <c r="AC88" s="281">
        <v>-2.895E-2</v>
      </c>
      <c r="AD88" s="577" t="s">
        <v>412</v>
      </c>
      <c r="AE88" s="578"/>
      <c r="AF88" s="578"/>
      <c r="AG88" s="578"/>
      <c r="AH88" s="579"/>
      <c r="AI88" s="174">
        <f>1.0029*EXP(AA88+AB88*LN($Z$85)+AC88*(LN($Z$85))^2)</f>
        <v>1.9662745281062608</v>
      </c>
      <c r="AJ88" s="81">
        <v>100</v>
      </c>
      <c r="AK88" s="214">
        <v>500</v>
      </c>
      <c r="AL88" s="575"/>
      <c r="AM88" s="576"/>
    </row>
    <row r="89" spans="15:39" ht="18" x14ac:dyDescent="0.4">
      <c r="P89" s="54" t="s">
        <v>200</v>
      </c>
      <c r="Q89" s="210">
        <f>AL111</f>
        <v>40.122641727426497</v>
      </c>
      <c r="R89" s="247" t="s">
        <v>304</v>
      </c>
      <c r="V89" s="278"/>
      <c r="W89" s="278"/>
      <c r="Y89" s="53" t="s">
        <v>353</v>
      </c>
      <c r="Z89" s="243"/>
      <c r="AA89" s="243"/>
      <c r="AB89" s="243"/>
      <c r="AC89" s="243"/>
      <c r="AD89" s="243"/>
      <c r="AE89" s="243"/>
      <c r="AF89" s="243"/>
      <c r="AG89" s="243"/>
      <c r="AH89" s="53"/>
    </row>
    <row r="90" spans="15:39" ht="18" x14ac:dyDescent="0.4">
      <c r="P90" s="54" t="s">
        <v>513</v>
      </c>
      <c r="Q90" s="282">
        <f>IF(AL118="out of range",AL118,AL118*Q63^(1/3))</f>
        <v>185.60411078459217</v>
      </c>
      <c r="R90" s="247" t="s">
        <v>305</v>
      </c>
      <c r="W90" s="278"/>
      <c r="Y90" s="53" t="s">
        <v>354</v>
      </c>
      <c r="Z90" s="243"/>
      <c r="AA90" s="243"/>
      <c r="AB90" s="243"/>
      <c r="AC90" s="243"/>
      <c r="AD90" s="243"/>
      <c r="AE90" s="243"/>
      <c r="AF90" s="243"/>
      <c r="AG90" s="243"/>
      <c r="AH90" s="53"/>
    </row>
    <row r="91" spans="15:39" x14ac:dyDescent="0.3">
      <c r="P91" s="186"/>
      <c r="Q91" s="186"/>
      <c r="R91" s="283"/>
      <c r="S91" s="186"/>
      <c r="T91" s="186"/>
      <c r="U91" s="186"/>
      <c r="V91" s="186"/>
      <c r="Y91" s="53"/>
      <c r="Z91" s="243"/>
      <c r="AA91" s="243"/>
      <c r="AB91" s="243"/>
      <c r="AC91" s="243"/>
      <c r="AD91" s="243"/>
      <c r="AE91" s="243"/>
      <c r="AF91" s="243"/>
      <c r="AG91" s="243"/>
      <c r="AH91" s="53"/>
    </row>
    <row r="92" spans="15:39" ht="18.600000000000001" thickBot="1" x14ac:dyDescent="0.35">
      <c r="O92" s="111" t="s">
        <v>216</v>
      </c>
      <c r="Y92" s="61" t="s">
        <v>392</v>
      </c>
      <c r="Z92" s="243"/>
      <c r="AA92" s="243"/>
      <c r="AB92" s="243"/>
      <c r="AC92" s="243"/>
      <c r="AD92" s="243"/>
      <c r="AE92" s="243"/>
      <c r="AF92" s="243"/>
      <c r="AG92" s="243"/>
      <c r="AH92" s="53"/>
    </row>
    <row r="93" spans="15:39" ht="20.399999999999999" thickBot="1" x14ac:dyDescent="0.45">
      <c r="P93" s="285" t="s">
        <v>215</v>
      </c>
      <c r="R93" s="286" t="s">
        <v>528</v>
      </c>
      <c r="S93" s="77"/>
      <c r="Y93" s="572" t="s">
        <v>385</v>
      </c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4"/>
    </row>
    <row r="94" spans="15:39" ht="19.2" thickBot="1" x14ac:dyDescent="0.35">
      <c r="P94" s="54" t="s">
        <v>527</v>
      </c>
      <c r="R94" s="191" t="str">
        <f xml:space="preserve"> INDEX(R101:R111,Q23)</f>
        <v/>
      </c>
      <c r="S94" s="77"/>
      <c r="Y94" s="542" t="s">
        <v>330</v>
      </c>
      <c r="Z94" s="544" t="s">
        <v>411</v>
      </c>
      <c r="AA94" s="546" t="s">
        <v>377</v>
      </c>
      <c r="AB94" s="547"/>
      <c r="AC94" s="547"/>
      <c r="AD94" s="547"/>
      <c r="AE94" s="547"/>
      <c r="AF94" s="547"/>
      <c r="AG94" s="547"/>
      <c r="AH94" s="548"/>
      <c r="AI94" s="549" t="s">
        <v>397</v>
      </c>
      <c r="AJ94" s="551" t="s">
        <v>267</v>
      </c>
      <c r="AK94" s="552"/>
      <c r="AL94" s="553" t="s">
        <v>399</v>
      </c>
      <c r="AM94" s="554"/>
    </row>
    <row r="95" spans="15:39" ht="19.5" customHeight="1" thickBot="1" x14ac:dyDescent="0.35">
      <c r="P95" s="54" t="s">
        <v>529</v>
      </c>
      <c r="Q95" s="178"/>
      <c r="R95" s="85" t="str">
        <f>IF(OR($Q$23=2,$Q$23=3),"If HPM is Present, NEW must be less than 60,000 lbs","")</f>
        <v/>
      </c>
      <c r="S95" s="77"/>
      <c r="Y95" s="543"/>
      <c r="Z95" s="545"/>
      <c r="AA95" s="228" t="s">
        <v>87</v>
      </c>
      <c r="AB95" s="229" t="s">
        <v>88</v>
      </c>
      <c r="AC95" s="229" t="s">
        <v>89</v>
      </c>
      <c r="AD95" s="229" t="s">
        <v>37</v>
      </c>
      <c r="AE95" s="229" t="s">
        <v>90</v>
      </c>
      <c r="AF95" s="229" t="s">
        <v>91</v>
      </c>
      <c r="AG95" s="229" t="s">
        <v>92</v>
      </c>
      <c r="AH95" s="230" t="s">
        <v>93</v>
      </c>
      <c r="AI95" s="550"/>
      <c r="AJ95" s="81" t="s">
        <v>261</v>
      </c>
      <c r="AK95" s="81" t="s">
        <v>262</v>
      </c>
      <c r="AL95" s="555"/>
      <c r="AM95" s="556"/>
    </row>
    <row r="96" spans="15:39" ht="16.2" thickTop="1" x14ac:dyDescent="0.3">
      <c r="P96" s="54" t="s">
        <v>530</v>
      </c>
      <c r="Q96" s="178"/>
      <c r="R96" s="85" t="str">
        <f>IF(Q23=1,INDEX(T132:T140,Q24),INDEX(T118:T128,Q23))</f>
        <v/>
      </c>
      <c r="S96" s="77"/>
      <c r="Y96" s="271" t="s">
        <v>355</v>
      </c>
      <c r="Z96" s="557">
        <f>ZeffIs</f>
        <v>4.6415888336127775</v>
      </c>
      <c r="AA96" s="272">
        <v>2.9750000000000001</v>
      </c>
      <c r="AB96" s="273">
        <v>-0.46600000000000003</v>
      </c>
      <c r="AC96" s="273">
        <v>0.96299999999999997</v>
      </c>
      <c r="AD96" s="273">
        <v>0.03</v>
      </c>
      <c r="AE96" s="273">
        <v>-8.6999999999999994E-2</v>
      </c>
      <c r="AF96" s="273">
        <v>0</v>
      </c>
      <c r="AG96" s="273">
        <v>0</v>
      </c>
      <c r="AH96" s="274">
        <v>0</v>
      </c>
      <c r="AI96" s="275">
        <f>EXP(AA96+AB96*LN($Z$96)+AC96*(LN($Z$96))^2+AD96*(LN($Z$96))^3+AE96*(LN($Z$96))^4+AF96*(LN($Z$96))^5+AG96*(LN($Z$96))^6+AH96*(LN($Z$96))^7)</f>
        <v>63.70827552059481</v>
      </c>
      <c r="AJ96" s="276">
        <v>0.5</v>
      </c>
      <c r="AK96" s="277">
        <v>2.41</v>
      </c>
      <c r="AL96" s="563">
        <f>IF(OR($Z$96&lt;AJ96,$Z$96&gt;AK99),"Out of Range",INDEX(AI96:AI99,MATCH(Z96,AJ96:AJ99,1)))</f>
        <v>16.237621628143543</v>
      </c>
      <c r="AM96" s="564"/>
    </row>
    <row r="97" spans="16:39" ht="16.5" customHeight="1" x14ac:dyDescent="0.3">
      <c r="Q97" s="178"/>
      <c r="R97" s="85"/>
      <c r="S97" s="77"/>
      <c r="Y97" s="270" t="s">
        <v>357</v>
      </c>
      <c r="Z97" s="558"/>
      <c r="AA97" s="232">
        <v>0.91100000000000003</v>
      </c>
      <c r="AB97" s="233">
        <v>7.26</v>
      </c>
      <c r="AC97" s="233">
        <v>-7.4589999999999996</v>
      </c>
      <c r="AD97" s="233">
        <v>2.96</v>
      </c>
      <c r="AE97" s="233">
        <v>-0.432</v>
      </c>
      <c r="AF97" s="233">
        <v>0</v>
      </c>
      <c r="AG97" s="233">
        <v>0</v>
      </c>
      <c r="AH97" s="234">
        <v>0</v>
      </c>
      <c r="AI97" s="97">
        <f>EXP(AA97+AB97*LN($Z$96)+AC97*(LN($Z$96))^2+AD97*(LN($Z$96))^3+AE97*(LN($Z$96))^4+AF97*(LN($Z$96))^5+AG97*(LN($Z$96))^6+AH97*(LN($Z$96))^7)</f>
        <v>16.237621628143543</v>
      </c>
      <c r="AJ97" s="92">
        <v>2.41</v>
      </c>
      <c r="AK97" s="195">
        <v>6</v>
      </c>
      <c r="AL97" s="565"/>
      <c r="AM97" s="566"/>
    </row>
    <row r="98" spans="16:39" x14ac:dyDescent="0.3">
      <c r="Q98" s="178"/>
      <c r="R98" s="178"/>
      <c r="Y98" s="270" t="s">
        <v>359</v>
      </c>
      <c r="Z98" s="558"/>
      <c r="AA98" s="232">
        <v>3.2484000000000002</v>
      </c>
      <c r="AB98" s="233">
        <v>0.1633</v>
      </c>
      <c r="AC98" s="233">
        <v>-0.44159999999999999</v>
      </c>
      <c r="AD98" s="233">
        <v>7.9299999999999995E-2</v>
      </c>
      <c r="AE98" s="233">
        <v>-5.5399999999999998E-3</v>
      </c>
      <c r="AF98" s="233">
        <v>0</v>
      </c>
      <c r="AG98" s="233">
        <v>0</v>
      </c>
      <c r="AH98" s="234">
        <v>0</v>
      </c>
      <c r="AI98" s="97">
        <f>EXP(AA98+AB98*LN($Z$96)+AC98*(LN($Z$96))^2+AD98*(LN($Z$96))^3+AE98*(LN($Z$96))^4+AF98*(LN($Z$96))^5+AG98*(LN($Z$96))^6+AH98*(LN($Z$96))^7)</f>
        <v>15.098144611818277</v>
      </c>
      <c r="AJ98" s="92">
        <v>6</v>
      </c>
      <c r="AK98" s="195">
        <v>85</v>
      </c>
      <c r="AL98" s="565"/>
      <c r="AM98" s="566"/>
    </row>
    <row r="99" spans="16:39" ht="16.2" thickBot="1" x14ac:dyDescent="0.35">
      <c r="P99" s="193" t="s">
        <v>527</v>
      </c>
      <c r="Y99" s="279" t="s">
        <v>361</v>
      </c>
      <c r="Z99" s="559"/>
      <c r="AA99" s="280">
        <v>4.7702</v>
      </c>
      <c r="AB99" s="281">
        <v>-1.0620000000000001</v>
      </c>
      <c r="AC99" s="281">
        <v>0</v>
      </c>
      <c r="AD99" s="260">
        <v>0</v>
      </c>
      <c r="AE99" s="260">
        <v>0</v>
      </c>
      <c r="AF99" s="260">
        <v>0</v>
      </c>
      <c r="AG99" s="260">
        <v>0</v>
      </c>
      <c r="AH99" s="261">
        <v>0</v>
      </c>
      <c r="AI99" s="174">
        <f>EXP(AA99+AB99*LN($Z$96)+AC99*(LN($Z$96))^2+AD99*(LN($Z$96))^3+AE99*(LN($Z$96))^4+AF99*(LN($Z$96))^5+AG99*(LN($Z$96))^6+AH99*(LN($Z$96))^7)</f>
        <v>23.103168073434507</v>
      </c>
      <c r="AJ99" s="81">
        <v>85</v>
      </c>
      <c r="AK99" s="214">
        <v>1000</v>
      </c>
      <c r="AL99" s="575"/>
      <c r="AM99" s="576"/>
    </row>
    <row r="100" spans="16:39" x14ac:dyDescent="0.3">
      <c r="P100" s="74" t="s">
        <v>108</v>
      </c>
      <c r="Q100" s="193" t="s">
        <v>541</v>
      </c>
      <c r="R100" s="288" t="s">
        <v>535</v>
      </c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53"/>
    </row>
    <row r="101" spans="16:39" ht="19.5" customHeight="1" thickBot="1" x14ac:dyDescent="0.35">
      <c r="P101" s="53" t="s">
        <v>56</v>
      </c>
      <c r="Q101" s="212">
        <v>5000000</v>
      </c>
      <c r="R101" s="54" t="str">
        <f t="shared" ref="R101:R111" si="8">IF($E$21&gt;Q101,"Out of Range (Total NEW must be less than "&amp;TEXT(Q101,"###,###,###")&amp;" lbs)","")</f>
        <v/>
      </c>
      <c r="Y101" s="61" t="s">
        <v>413</v>
      </c>
      <c r="Z101" s="243"/>
      <c r="AA101" s="243"/>
      <c r="AB101" s="243"/>
      <c r="AC101" s="243"/>
      <c r="AD101" s="243"/>
      <c r="AE101" s="243"/>
      <c r="AF101" s="243"/>
      <c r="AG101" s="243"/>
      <c r="AH101" s="53"/>
    </row>
    <row r="102" spans="16:39" ht="20.399999999999999" thickBot="1" x14ac:dyDescent="0.45">
      <c r="P102" s="53" t="s">
        <v>72</v>
      </c>
      <c r="Q102" s="212">
        <v>500000</v>
      </c>
      <c r="R102" s="54" t="str">
        <f t="shared" si="8"/>
        <v/>
      </c>
      <c r="Y102" s="572" t="s">
        <v>386</v>
      </c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4"/>
    </row>
    <row r="103" spans="16:39" ht="19.2" thickBot="1" x14ac:dyDescent="0.35">
      <c r="P103" s="53" t="s">
        <v>73</v>
      </c>
      <c r="Q103" s="212">
        <v>500000</v>
      </c>
      <c r="R103" s="54" t="str">
        <f t="shared" si="8"/>
        <v/>
      </c>
      <c r="Y103" s="542" t="s">
        <v>330</v>
      </c>
      <c r="Z103" s="544" t="s">
        <v>411</v>
      </c>
      <c r="AA103" s="546" t="s">
        <v>378</v>
      </c>
      <c r="AB103" s="547"/>
      <c r="AC103" s="547"/>
      <c r="AD103" s="547"/>
      <c r="AE103" s="547"/>
      <c r="AF103" s="547"/>
      <c r="AG103" s="547"/>
      <c r="AH103" s="548"/>
      <c r="AI103" s="549" t="s">
        <v>397</v>
      </c>
      <c r="AJ103" s="551" t="s">
        <v>267</v>
      </c>
      <c r="AK103" s="552"/>
      <c r="AL103" s="553" t="s">
        <v>399</v>
      </c>
      <c r="AM103" s="554"/>
    </row>
    <row r="104" spans="16:39" ht="16.2" thickBot="1" x14ac:dyDescent="0.35">
      <c r="P104" s="53" t="s">
        <v>39</v>
      </c>
      <c r="Q104" s="212">
        <v>500000</v>
      </c>
      <c r="R104" s="54" t="str">
        <f t="shared" si="8"/>
        <v/>
      </c>
      <c r="Y104" s="543"/>
      <c r="Z104" s="545"/>
      <c r="AA104" s="228" t="s">
        <v>87</v>
      </c>
      <c r="AB104" s="229" t="s">
        <v>88</v>
      </c>
      <c r="AC104" s="229" t="s">
        <v>89</v>
      </c>
      <c r="AD104" s="229" t="s">
        <v>37</v>
      </c>
      <c r="AE104" s="229" t="s">
        <v>90</v>
      </c>
      <c r="AF104" s="229" t="s">
        <v>91</v>
      </c>
      <c r="AG104" s="229" t="s">
        <v>92</v>
      </c>
      <c r="AH104" s="230" t="s">
        <v>93</v>
      </c>
      <c r="AI104" s="550"/>
      <c r="AJ104" s="81" t="s">
        <v>261</v>
      </c>
      <c r="AK104" s="81" t="s">
        <v>262</v>
      </c>
      <c r="AL104" s="555"/>
      <c r="AM104" s="556"/>
    </row>
    <row r="105" spans="16:39" ht="16.8" thickTop="1" thickBot="1" x14ac:dyDescent="0.35">
      <c r="P105" s="53" t="s">
        <v>98</v>
      </c>
      <c r="Q105" s="212">
        <v>20000</v>
      </c>
      <c r="R105" s="54" t="str">
        <f t="shared" si="8"/>
        <v/>
      </c>
      <c r="Y105" s="279" t="s">
        <v>363</v>
      </c>
      <c r="Z105" s="287">
        <f>ZeffIs</f>
        <v>4.6415888336127775</v>
      </c>
      <c r="AA105" s="280">
        <v>5.9313000000000002</v>
      </c>
      <c r="AB105" s="281">
        <v>-1.5622</v>
      </c>
      <c r="AC105" s="281">
        <v>0.13220000000000001</v>
      </c>
      <c r="AD105" s="260">
        <v>-1.123E-2</v>
      </c>
      <c r="AE105" s="260">
        <v>0</v>
      </c>
      <c r="AF105" s="260">
        <v>0</v>
      </c>
      <c r="AG105" s="260">
        <v>0</v>
      </c>
      <c r="AH105" s="261">
        <v>0</v>
      </c>
      <c r="AI105" s="174">
        <f>EXP(AA105+AB105*LN($Z$105)+AC105*(LN($Z$105))^2+AD105*(LN($Z$105))^3+AE105*(LN($Z$105))^4+AF105*(LN($Z$105))^5+AG105*(LN($Z$105))^6+AH105*(LN($Z$105))^7)</f>
        <v>44.886142631182139</v>
      </c>
      <c r="AJ105" s="81">
        <v>0.2</v>
      </c>
      <c r="AK105" s="214">
        <v>600</v>
      </c>
      <c r="AL105" s="540">
        <f>IF(OR($Z$105&lt;AJ105,$Z$105&gt;AK105),"Out of Range",AI105)</f>
        <v>44.886142631182139</v>
      </c>
      <c r="AM105" s="541"/>
    </row>
    <row r="106" spans="16:39" x14ac:dyDescent="0.3">
      <c r="P106" s="53" t="s">
        <v>99</v>
      </c>
      <c r="Q106" s="212">
        <v>20000</v>
      </c>
      <c r="R106" s="54" t="str">
        <f t="shared" si="8"/>
        <v/>
      </c>
      <c r="Y106" s="53"/>
      <c r="Z106" s="243"/>
      <c r="AA106" s="243"/>
      <c r="AB106" s="243"/>
      <c r="AC106" s="243"/>
      <c r="AD106" s="243"/>
      <c r="AE106" s="243"/>
      <c r="AF106" s="243"/>
      <c r="AG106" s="243"/>
      <c r="AH106" s="53"/>
    </row>
    <row r="107" spans="16:39" ht="16.2" thickBot="1" x14ac:dyDescent="0.35">
      <c r="P107" s="53" t="s">
        <v>100</v>
      </c>
      <c r="Q107" s="212">
        <v>20000</v>
      </c>
      <c r="R107" s="54" t="str">
        <f t="shared" si="8"/>
        <v/>
      </c>
      <c r="Y107" s="61" t="s">
        <v>393</v>
      </c>
      <c r="Z107" s="53"/>
      <c r="AA107" s="53"/>
      <c r="AB107" s="53"/>
      <c r="AC107" s="53"/>
      <c r="AD107" s="53"/>
      <c r="AE107" s="53"/>
      <c r="AF107" s="53"/>
      <c r="AG107" s="53"/>
      <c r="AH107" s="53"/>
    </row>
    <row r="108" spans="16:39" ht="19.5" customHeight="1" thickBot="1" x14ac:dyDescent="0.45">
      <c r="P108" s="53" t="s">
        <v>581</v>
      </c>
      <c r="Q108" s="212">
        <v>200000</v>
      </c>
      <c r="R108" s="54" t="str">
        <f t="shared" si="8"/>
        <v/>
      </c>
      <c r="Y108" s="572" t="s">
        <v>387</v>
      </c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4"/>
    </row>
    <row r="109" spans="16:39" ht="18.600000000000001" thickBot="1" x14ac:dyDescent="0.35">
      <c r="P109" s="53" t="s">
        <v>582</v>
      </c>
      <c r="Q109" s="212">
        <v>200000</v>
      </c>
      <c r="R109" s="54" t="str">
        <f t="shared" si="8"/>
        <v/>
      </c>
      <c r="Y109" s="542" t="s">
        <v>330</v>
      </c>
      <c r="Z109" s="544" t="s">
        <v>408</v>
      </c>
      <c r="AA109" s="546" t="s">
        <v>379</v>
      </c>
      <c r="AB109" s="547"/>
      <c r="AC109" s="547"/>
      <c r="AD109" s="547"/>
      <c r="AE109" s="547"/>
      <c r="AF109" s="547"/>
      <c r="AG109" s="547"/>
      <c r="AH109" s="548"/>
      <c r="AI109" s="549" t="s">
        <v>397</v>
      </c>
      <c r="AJ109" s="551" t="s">
        <v>267</v>
      </c>
      <c r="AK109" s="552"/>
      <c r="AL109" s="553" t="s">
        <v>399</v>
      </c>
      <c r="AM109" s="554"/>
    </row>
    <row r="110" spans="16:39" ht="16.2" thickBot="1" x14ac:dyDescent="0.35">
      <c r="P110" s="121" t="s">
        <v>583</v>
      </c>
      <c r="Q110" s="212">
        <v>20000</v>
      </c>
      <c r="R110" s="54" t="str">
        <f>IF($E$21&gt;Q110,"Out of Range (Total NEW must be less than "&amp;TEXT(Q110,"###,###,###")&amp;" lbs)","")</f>
        <v/>
      </c>
      <c r="Y110" s="543"/>
      <c r="Z110" s="545"/>
      <c r="AA110" s="228" t="s">
        <v>87</v>
      </c>
      <c r="AB110" s="229" t="s">
        <v>88</v>
      </c>
      <c r="AC110" s="229" t="s">
        <v>89</v>
      </c>
      <c r="AD110" s="229" t="s">
        <v>37</v>
      </c>
      <c r="AE110" s="229" t="s">
        <v>90</v>
      </c>
      <c r="AF110" s="229" t="s">
        <v>91</v>
      </c>
      <c r="AG110" s="229" t="s">
        <v>92</v>
      </c>
      <c r="AH110" s="230" t="s">
        <v>93</v>
      </c>
      <c r="AI110" s="550"/>
      <c r="AJ110" s="81" t="s">
        <v>261</v>
      </c>
      <c r="AK110" s="81" t="s">
        <v>262</v>
      </c>
      <c r="AL110" s="555"/>
      <c r="AM110" s="556"/>
    </row>
    <row r="111" spans="16:39" ht="16.8" thickTop="1" thickBot="1" x14ac:dyDescent="0.35">
      <c r="P111" s="54" t="s">
        <v>584</v>
      </c>
      <c r="Q111" s="212">
        <v>5000000</v>
      </c>
      <c r="R111" s="54" t="str">
        <f t="shared" si="8"/>
        <v/>
      </c>
      <c r="Y111" s="279" t="s">
        <v>365</v>
      </c>
      <c r="Z111" s="287">
        <f>ZeffPs</f>
        <v>4.6415888336127775</v>
      </c>
      <c r="AA111" s="280">
        <v>8.0166199999999996</v>
      </c>
      <c r="AB111" s="281">
        <v>-1.8068599999999999</v>
      </c>
      <c r="AC111" s="281">
        <v>-0.424622</v>
      </c>
      <c r="AD111" s="260">
        <v>-0.39399299999999998</v>
      </c>
      <c r="AE111" s="260">
        <v>0.189752</v>
      </c>
      <c r="AF111" s="260">
        <v>-2.0992799999999999E-2</v>
      </c>
      <c r="AG111" s="260">
        <v>0</v>
      </c>
      <c r="AH111" s="261">
        <v>0</v>
      </c>
      <c r="AI111" s="174">
        <f>EXP(AA111+AB111*LN($Z$111)+AC111*(LN($Z$111))^2+AD111*(LN($Z$111))^3+AE111*(LN($Z$111))^4+AF111*(LN($Z$111))^5+AG111*(LN($Z$111))^6+AH111*(LN($Z$111))^7)</f>
        <v>40.122641727426497</v>
      </c>
      <c r="AJ111" s="81">
        <v>0.5</v>
      </c>
      <c r="AK111" s="214">
        <v>150</v>
      </c>
      <c r="AL111" s="540">
        <f>IF(OR($Z$111&lt;AJ111,$Z$111&gt;AK111),"Out of Range",AI111)</f>
        <v>40.122641727426497</v>
      </c>
      <c r="AM111" s="541"/>
    </row>
    <row r="112" spans="16:39" x14ac:dyDescent="0.3">
      <c r="Y112" s="53" t="s">
        <v>367</v>
      </c>
      <c r="Z112" s="243"/>
      <c r="AA112" s="243"/>
      <c r="AB112" s="243"/>
      <c r="AC112" s="243"/>
      <c r="AD112" s="243"/>
      <c r="AE112" s="243"/>
      <c r="AF112" s="243"/>
      <c r="AG112" s="53"/>
      <c r="AH112" s="53"/>
    </row>
    <row r="113" spans="16:39" x14ac:dyDescent="0.3">
      <c r="Y113" s="243"/>
      <c r="Z113" s="243"/>
      <c r="AA113" s="243"/>
      <c r="AB113" s="243"/>
      <c r="AC113" s="243"/>
      <c r="AD113" s="243"/>
      <c r="AE113" s="243"/>
      <c r="AF113" s="243"/>
      <c r="AG113" s="53"/>
      <c r="AH113" s="53"/>
    </row>
    <row r="114" spans="16:39" ht="20.399999999999999" thickBot="1" x14ac:dyDescent="0.45">
      <c r="P114" s="193" t="s">
        <v>575</v>
      </c>
      <c r="R114" s="85" t="s">
        <v>537</v>
      </c>
      <c r="S114" s="178">
        <f>ZeffPs</f>
        <v>4.6415888336127775</v>
      </c>
      <c r="Y114" s="61" t="s">
        <v>394</v>
      </c>
      <c r="Z114" s="243"/>
      <c r="AA114" s="243"/>
      <c r="AB114" s="243"/>
      <c r="AC114" s="243"/>
      <c r="AD114" s="243"/>
      <c r="AE114" s="243"/>
      <c r="AF114" s="243"/>
      <c r="AG114" s="53"/>
      <c r="AH114" s="53"/>
    </row>
    <row r="115" spans="16:39" ht="20.399999999999999" thickBot="1" x14ac:dyDescent="0.45">
      <c r="P115" s="193"/>
      <c r="R115" s="85" t="s">
        <v>621</v>
      </c>
      <c r="S115" s="470">
        <f>ZeffIs</f>
        <v>4.6415888336127775</v>
      </c>
      <c r="Y115" s="572" t="s">
        <v>380</v>
      </c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4"/>
    </row>
    <row r="116" spans="16:39" ht="19.5" customHeight="1" thickBot="1" x14ac:dyDescent="0.35">
      <c r="Q116" s="634" t="s">
        <v>531</v>
      </c>
      <c r="R116" s="634"/>
      <c r="T116" s="288" t="s">
        <v>535</v>
      </c>
      <c r="Y116" s="542" t="s">
        <v>330</v>
      </c>
      <c r="Z116" s="544" t="s">
        <v>411</v>
      </c>
      <c r="AA116" s="546" t="s">
        <v>381</v>
      </c>
      <c r="AB116" s="547"/>
      <c r="AC116" s="547"/>
      <c r="AD116" s="547"/>
      <c r="AE116" s="547"/>
      <c r="AF116" s="547"/>
      <c r="AG116" s="547"/>
      <c r="AH116" s="548"/>
      <c r="AI116" s="549" t="s">
        <v>397</v>
      </c>
      <c r="AJ116" s="551" t="s">
        <v>267</v>
      </c>
      <c r="AK116" s="552"/>
      <c r="AL116" s="553" t="s">
        <v>399</v>
      </c>
      <c r="AM116" s="554"/>
    </row>
    <row r="117" spans="16:39" ht="16.2" thickBot="1" x14ac:dyDescent="0.35">
      <c r="P117" s="74" t="s">
        <v>108</v>
      </c>
      <c r="Q117" s="74" t="s">
        <v>532</v>
      </c>
      <c r="R117" s="74" t="s">
        <v>533</v>
      </c>
      <c r="Y117" s="543"/>
      <c r="Z117" s="545"/>
      <c r="AA117" s="228" t="s">
        <v>87</v>
      </c>
      <c r="AB117" s="229" t="s">
        <v>88</v>
      </c>
      <c r="AC117" s="229" t="s">
        <v>89</v>
      </c>
      <c r="AD117" s="229" t="s">
        <v>37</v>
      </c>
      <c r="AE117" s="229" t="s">
        <v>90</v>
      </c>
      <c r="AF117" s="229" t="s">
        <v>91</v>
      </c>
      <c r="AG117" s="229" t="s">
        <v>92</v>
      </c>
      <c r="AH117" s="230" t="s">
        <v>93</v>
      </c>
      <c r="AI117" s="550"/>
      <c r="AJ117" s="81" t="s">
        <v>261</v>
      </c>
      <c r="AK117" s="81" t="s">
        <v>262</v>
      </c>
      <c r="AL117" s="555"/>
      <c r="AM117" s="556"/>
    </row>
    <row r="118" spans="16:39" ht="16.2" thickTop="1" x14ac:dyDescent="0.3">
      <c r="P118" s="53" t="s">
        <v>56</v>
      </c>
      <c r="Q118" s="511" t="s">
        <v>576</v>
      </c>
      <c r="R118" s="511"/>
      <c r="T118" s="53" t="str">
        <f>IF(Q23=1,"Error in Warning Display Programming")</f>
        <v>Error in Warning Display Programming</v>
      </c>
      <c r="Y118" s="271" t="s">
        <v>368</v>
      </c>
      <c r="Z118" s="557">
        <f>ZeffIs</f>
        <v>4.6415888336127775</v>
      </c>
      <c r="AA118" s="272">
        <v>5.0266900000000003</v>
      </c>
      <c r="AB118" s="273">
        <v>-1.4977</v>
      </c>
      <c r="AC118" s="273">
        <v>0.382073</v>
      </c>
      <c r="AD118" s="273">
        <v>-2.9166699999999999</v>
      </c>
      <c r="AE118" s="273">
        <v>9.8691699999999993E-2</v>
      </c>
      <c r="AF118" s="273">
        <v>4.1177599999999996</v>
      </c>
      <c r="AG118" s="273">
        <v>-2.92807</v>
      </c>
      <c r="AH118" s="274">
        <v>0.58457099999999995</v>
      </c>
      <c r="AI118" s="275">
        <f>EXP(AA118+AB118*LN($Z$118)+AC118*(LN($Z$118))^2+AD118*(LN($Z$118))^3+AE118*(LN($Z$118))^4+AF118*(LN($Z$118))^5+AG118*(LN($Z$118))^6+AH118*(LN($Z$118))^7)</f>
        <v>8.6149796809039199</v>
      </c>
      <c r="AJ118" s="276">
        <v>0.5</v>
      </c>
      <c r="AK118" s="289">
        <v>6</v>
      </c>
      <c r="AL118" s="563">
        <f>IF(OR($Z$118&lt;AJ118,$Z$118&gt;AK119),"Out of Range",INDEX(AI118:AI119,MATCH(Z118,AJ118:AJ119,1)))</f>
        <v>8.6149796809039199</v>
      </c>
      <c r="AM118" s="564"/>
    </row>
    <row r="119" spans="16:39" ht="16.2" thickBot="1" x14ac:dyDescent="0.35">
      <c r="P119" s="53" t="s">
        <v>72</v>
      </c>
      <c r="Q119" s="474">
        <f>MAX(AJ30,AJ43)</f>
        <v>2.6</v>
      </c>
      <c r="R119" s="105">
        <f>MIN(AK30,AK43)</f>
        <v>150</v>
      </c>
      <c r="T119" s="53" t="str">
        <f>IF(OR($S$114&lt;Q119,$S$115&lt;Q119), "Scaled Distance too small.  Zeff,p,s and Zeff,I,s must be at least " &amp; Q119 &amp; " ft/lb^1/3",IF(OR($S$114&gt;R119,$S$115&gt;R119),"Scaled Distance too large.  Zeff,p,s and Zeff,I,s must be less than " &amp; R119 &amp; " ft/lb^1/3",""))</f>
        <v/>
      </c>
      <c r="Y119" s="279" t="s">
        <v>370</v>
      </c>
      <c r="Z119" s="559"/>
      <c r="AA119" s="290">
        <v>-43.575899999999997</v>
      </c>
      <c r="AB119" s="260">
        <v>106.51300000000001</v>
      </c>
      <c r="AC119" s="260">
        <v>-96.617400000000004</v>
      </c>
      <c r="AD119" s="260">
        <v>44.332700000000003</v>
      </c>
      <c r="AE119" s="260">
        <v>-11.153700000000001</v>
      </c>
      <c r="AF119" s="260">
        <v>1.4653499999999999</v>
      </c>
      <c r="AG119" s="260">
        <v>-7.8767500000000004E-2</v>
      </c>
      <c r="AH119" s="261">
        <v>0</v>
      </c>
      <c r="AI119" s="174">
        <f>EXP(AA119+AB119*LN($Z$118)+AC119*(LN($Z$118))^2+AD119*(LN($Z$118))^3+AE119*(LN($Z$118))^4+AF119*(LN($Z$118))^5+AG119*(LN($Z$118))^6+AH119*(LN($Z$118))^7)</f>
        <v>8.551965419290033</v>
      </c>
      <c r="AJ119" s="81">
        <v>6</v>
      </c>
      <c r="AK119" s="291">
        <v>150</v>
      </c>
      <c r="AL119" s="575"/>
      <c r="AM119" s="576"/>
    </row>
    <row r="120" spans="16:39" ht="16.5" customHeight="1" x14ac:dyDescent="0.3">
      <c r="P120" s="53" t="s">
        <v>73</v>
      </c>
      <c r="Q120" s="474">
        <f t="shared" ref="Q120:Q128" si="9">MAX(AJ31,AJ44)</f>
        <v>1</v>
      </c>
      <c r="R120" s="105">
        <f t="shared" ref="R120:R128" si="10">MIN(AK31,AK44)</f>
        <v>150</v>
      </c>
      <c r="T120" s="53" t="str">
        <f t="shared" ref="T120:T128" si="11">IF(OR($S$114&lt;Q120,$S$115&lt;Q120), "Scaled Distance too small.  Zeff,p,s and Zeff,I,s must be at least " &amp; Q120 &amp; " ft/lb^1/3",IF(OR($S$114&gt;R120,$S$115&gt;R120),"Scaled Distance too large.  Zeff,p,s and Zeff,I,s must be less than " &amp; R120 &amp; " ft/lb^1/3",""))</f>
        <v/>
      </c>
    </row>
    <row r="121" spans="16:39" ht="18.600000000000001" thickBot="1" x14ac:dyDescent="0.35">
      <c r="P121" s="53" t="s">
        <v>39</v>
      </c>
      <c r="Q121" s="474">
        <f t="shared" si="9"/>
        <v>2</v>
      </c>
      <c r="R121" s="105">
        <f t="shared" si="10"/>
        <v>150</v>
      </c>
      <c r="T121" s="53" t="str">
        <f t="shared" si="11"/>
        <v/>
      </c>
      <c r="Y121" s="61" t="s">
        <v>418</v>
      </c>
      <c r="Z121" s="243"/>
      <c r="AA121" s="243"/>
      <c r="AB121" s="243"/>
      <c r="AC121" s="243"/>
      <c r="AD121" s="243"/>
      <c r="AE121" s="243"/>
      <c r="AF121" s="243"/>
      <c r="AG121" s="243"/>
      <c r="AH121" s="53"/>
    </row>
    <row r="122" spans="16:39" ht="16.8" thickBot="1" x14ac:dyDescent="0.4">
      <c r="P122" s="53" t="s">
        <v>98</v>
      </c>
      <c r="Q122" s="474">
        <f t="shared" si="9"/>
        <v>2</v>
      </c>
      <c r="R122" s="105">
        <f t="shared" si="10"/>
        <v>80</v>
      </c>
      <c r="T122" s="53" t="str">
        <f t="shared" si="11"/>
        <v/>
      </c>
      <c r="U122" s="634"/>
      <c r="V122" s="634"/>
      <c r="Y122" s="572" t="s">
        <v>417</v>
      </c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4"/>
    </row>
    <row r="123" spans="16:39" ht="16.2" thickBot="1" x14ac:dyDescent="0.35">
      <c r="P123" s="53" t="s">
        <v>99</v>
      </c>
      <c r="Q123" s="474">
        <f t="shared" si="9"/>
        <v>2</v>
      </c>
      <c r="R123" s="105">
        <f t="shared" si="10"/>
        <v>100</v>
      </c>
      <c r="T123" s="53" t="str">
        <f t="shared" si="11"/>
        <v/>
      </c>
      <c r="U123" s="74"/>
      <c r="V123" s="74"/>
      <c r="Y123" s="542" t="s">
        <v>330</v>
      </c>
      <c r="Z123" s="544" t="s">
        <v>416</v>
      </c>
      <c r="AA123" s="546" t="s">
        <v>415</v>
      </c>
      <c r="AB123" s="547"/>
      <c r="AC123" s="547"/>
      <c r="AD123" s="547"/>
      <c r="AE123" s="547"/>
      <c r="AF123" s="547"/>
      <c r="AG123" s="547"/>
      <c r="AH123" s="548"/>
      <c r="AI123" s="549" t="s">
        <v>397</v>
      </c>
      <c r="AJ123" s="551" t="s">
        <v>267</v>
      </c>
      <c r="AK123" s="552"/>
      <c r="AL123" s="553" t="s">
        <v>399</v>
      </c>
      <c r="AM123" s="554"/>
    </row>
    <row r="124" spans="16:39" ht="16.2" thickBot="1" x14ac:dyDescent="0.35">
      <c r="P124" s="53" t="s">
        <v>100</v>
      </c>
      <c r="Q124" s="474">
        <f t="shared" si="9"/>
        <v>1</v>
      </c>
      <c r="R124" s="105">
        <f t="shared" si="10"/>
        <v>100</v>
      </c>
      <c r="T124" s="53" t="str">
        <f t="shared" si="11"/>
        <v/>
      </c>
      <c r="Y124" s="543"/>
      <c r="Z124" s="545"/>
      <c r="AA124" s="228" t="s">
        <v>87</v>
      </c>
      <c r="AB124" s="229" t="s">
        <v>88</v>
      </c>
      <c r="AC124" s="229" t="s">
        <v>89</v>
      </c>
      <c r="AD124" s="229" t="s">
        <v>37</v>
      </c>
      <c r="AE124" s="229" t="s">
        <v>90</v>
      </c>
      <c r="AF124" s="229" t="s">
        <v>91</v>
      </c>
      <c r="AG124" s="229" t="s">
        <v>92</v>
      </c>
      <c r="AH124" s="230" t="s">
        <v>93</v>
      </c>
      <c r="AI124" s="550"/>
      <c r="AJ124" s="81" t="s">
        <v>421</v>
      </c>
      <c r="AK124" s="81" t="s">
        <v>422</v>
      </c>
      <c r="AL124" s="555"/>
      <c r="AM124" s="556"/>
    </row>
    <row r="125" spans="16:39" ht="16.2" thickTop="1" x14ac:dyDescent="0.3">
      <c r="P125" s="53" t="s">
        <v>581</v>
      </c>
      <c r="Q125" s="474">
        <f t="shared" si="9"/>
        <v>1.6</v>
      </c>
      <c r="R125" s="105">
        <f t="shared" si="10"/>
        <v>100</v>
      </c>
      <c r="T125" s="53" t="str">
        <f t="shared" si="11"/>
        <v/>
      </c>
      <c r="Y125" s="292" t="s">
        <v>419</v>
      </c>
      <c r="Z125" s="557">
        <f>Psos</f>
        <v>49.817025286380328</v>
      </c>
      <c r="AA125" s="560" t="s">
        <v>423</v>
      </c>
      <c r="AB125" s="561"/>
      <c r="AC125" s="561"/>
      <c r="AD125" s="561"/>
      <c r="AE125" s="561"/>
      <c r="AF125" s="561"/>
      <c r="AG125" s="561"/>
      <c r="AH125" s="562"/>
      <c r="AI125" s="235">
        <v>9.9999999999999995E-7</v>
      </c>
      <c r="AJ125" s="236">
        <v>0</v>
      </c>
      <c r="AK125" s="237">
        <v>1E-3</v>
      </c>
      <c r="AL125" s="563">
        <f>IF(OR($Z$125&lt;AJ125,$Z$125&gt;AK127),"Out of Range",INDEX(AI125:AI127,MATCH(Z125,AJ125:AJ127,1)))</f>
        <v>1</v>
      </c>
      <c r="AM125" s="564"/>
    </row>
    <row r="126" spans="16:39" x14ac:dyDescent="0.3">
      <c r="P126" s="53" t="s">
        <v>582</v>
      </c>
      <c r="Q126" s="474">
        <f t="shared" si="9"/>
        <v>2.35</v>
      </c>
      <c r="R126" s="105">
        <f t="shared" si="10"/>
        <v>148</v>
      </c>
      <c r="T126" s="53" t="str">
        <f t="shared" si="11"/>
        <v/>
      </c>
      <c r="Y126" s="292" t="s">
        <v>414</v>
      </c>
      <c r="Z126" s="558"/>
      <c r="AA126" s="239">
        <v>-0.34888400000000003</v>
      </c>
      <c r="AB126" s="240">
        <v>1.28491</v>
      </c>
      <c r="AC126" s="240">
        <v>-1.05159</v>
      </c>
      <c r="AD126" s="240">
        <v>-5.7980700000000003E-2</v>
      </c>
      <c r="AE126" s="240">
        <v>3.3922099999999997E-2</v>
      </c>
      <c r="AF126" s="240">
        <v>4.6421300000000004E-3</v>
      </c>
      <c r="AG126" s="240">
        <v>0</v>
      </c>
      <c r="AH126" s="241">
        <v>0</v>
      </c>
      <c r="AI126" s="97">
        <f>EXP(AA126+AB126*LN($Z$125)+AC126*(LN($Z$125))^2+AD126*(LN($Z$125))^3+AE126*(LN($Z$125))^4+AF126*(LN($Z$125))^5+AG126*(LN($Z$125))^6+AH126*(LN($Z$125))^7)</f>
        <v>6.6986337389153147E-2</v>
      </c>
      <c r="AJ126" s="92">
        <v>1E-3</v>
      </c>
      <c r="AK126" s="195">
        <v>1.5</v>
      </c>
      <c r="AL126" s="565"/>
      <c r="AM126" s="566"/>
    </row>
    <row r="127" spans="16:39" ht="18.600000000000001" thickBot="1" x14ac:dyDescent="0.45">
      <c r="P127" s="121" t="s">
        <v>583</v>
      </c>
      <c r="Q127" s="474">
        <f t="shared" si="9"/>
        <v>1.7</v>
      </c>
      <c r="R127" s="105">
        <f t="shared" si="10"/>
        <v>133</v>
      </c>
      <c r="T127" s="53" t="str">
        <f t="shared" si="11"/>
        <v/>
      </c>
      <c r="Y127" s="293" t="s">
        <v>420</v>
      </c>
      <c r="Z127" s="559"/>
      <c r="AA127" s="569" t="s">
        <v>424</v>
      </c>
      <c r="AB127" s="570"/>
      <c r="AC127" s="570"/>
      <c r="AD127" s="570"/>
      <c r="AE127" s="570"/>
      <c r="AF127" s="570"/>
      <c r="AG127" s="570"/>
      <c r="AH127" s="571"/>
      <c r="AI127" s="174">
        <v>1</v>
      </c>
      <c r="AJ127" s="81">
        <v>1.5</v>
      </c>
      <c r="AK127" s="214">
        <v>100000</v>
      </c>
      <c r="AL127" s="567"/>
      <c r="AM127" s="568"/>
    </row>
    <row r="128" spans="16:39" x14ac:dyDescent="0.3">
      <c r="P128" s="54" t="s">
        <v>584</v>
      </c>
      <c r="Q128" s="474">
        <f t="shared" si="9"/>
        <v>3.25</v>
      </c>
      <c r="R128" s="105">
        <f t="shared" si="10"/>
        <v>148</v>
      </c>
      <c r="T128" s="53" t="str">
        <f t="shared" si="11"/>
        <v/>
      </c>
    </row>
    <row r="129" spans="16:39" ht="18.600000000000001" thickBot="1" x14ac:dyDescent="0.35">
      <c r="P129" s="53"/>
      <c r="Q129" s="474"/>
      <c r="R129" s="474"/>
      <c r="Y129" s="61" t="s">
        <v>425</v>
      </c>
      <c r="Z129" s="243"/>
      <c r="AA129" s="243"/>
      <c r="AB129" s="243"/>
      <c r="AC129" s="243"/>
      <c r="AD129" s="243"/>
      <c r="AE129" s="243"/>
      <c r="AF129" s="243"/>
      <c r="AG129" s="243"/>
      <c r="AH129" s="53"/>
    </row>
    <row r="130" spans="16:39" ht="16.8" thickBot="1" x14ac:dyDescent="0.4">
      <c r="Q130" s="634" t="s">
        <v>531</v>
      </c>
      <c r="R130" s="634"/>
      <c r="Y130" s="572" t="s">
        <v>417</v>
      </c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4"/>
    </row>
    <row r="131" spans="16:39" ht="16.2" thickBot="1" x14ac:dyDescent="0.35">
      <c r="P131" s="74" t="s">
        <v>574</v>
      </c>
      <c r="Q131" s="473" t="s">
        <v>532</v>
      </c>
      <c r="R131" s="473" t="s">
        <v>533</v>
      </c>
      <c r="T131" s="288" t="s">
        <v>535</v>
      </c>
      <c r="Y131" s="542" t="s">
        <v>330</v>
      </c>
      <c r="Z131" s="544" t="s">
        <v>416</v>
      </c>
      <c r="AA131" s="546" t="s">
        <v>415</v>
      </c>
      <c r="AB131" s="547"/>
      <c r="AC131" s="547"/>
      <c r="AD131" s="547"/>
      <c r="AE131" s="547"/>
      <c r="AF131" s="547"/>
      <c r="AG131" s="547"/>
      <c r="AH131" s="548"/>
      <c r="AI131" s="549" t="s">
        <v>397</v>
      </c>
      <c r="AJ131" s="551" t="s">
        <v>267</v>
      </c>
      <c r="AK131" s="552"/>
      <c r="AL131" s="553" t="s">
        <v>399</v>
      </c>
      <c r="AM131" s="554"/>
    </row>
    <row r="132" spans="16:39" ht="16.2" thickBot="1" x14ac:dyDescent="0.35">
      <c r="P132" s="54" t="s">
        <v>573</v>
      </c>
      <c r="Q132" s="474">
        <v>1</v>
      </c>
      <c r="R132" s="474">
        <v>500</v>
      </c>
      <c r="T132" s="53" t="str">
        <f>IF($S$114&lt;Q132, "WARNING: Scaled Distance too small.  Zeff,p,s must be at least " &amp; Q132 &amp; " ft/lb^1/3",IF($S$114&gt;R132,"WARNING: Scaled Distance too large.  Zeff,p,s must be less than " &amp; R132 &amp; " ft/lb^1/3",""))</f>
        <v/>
      </c>
      <c r="Y132" s="543"/>
      <c r="Z132" s="545"/>
      <c r="AA132" s="228" t="s">
        <v>87</v>
      </c>
      <c r="AB132" s="229" t="s">
        <v>88</v>
      </c>
      <c r="AC132" s="229" t="s">
        <v>89</v>
      </c>
      <c r="AD132" s="229" t="s">
        <v>37</v>
      </c>
      <c r="AE132" s="229" t="s">
        <v>90</v>
      </c>
      <c r="AF132" s="229" t="s">
        <v>91</v>
      </c>
      <c r="AG132" s="229" t="s">
        <v>92</v>
      </c>
      <c r="AH132" s="230" t="s">
        <v>93</v>
      </c>
      <c r="AI132" s="550"/>
      <c r="AJ132" s="81" t="s">
        <v>421</v>
      </c>
      <c r="AK132" s="81" t="s">
        <v>422</v>
      </c>
      <c r="AL132" s="555"/>
      <c r="AM132" s="556"/>
    </row>
    <row r="133" spans="16:39" ht="16.2" thickTop="1" x14ac:dyDescent="0.3">
      <c r="P133" s="53"/>
      <c r="Q133" s="461"/>
      <c r="R133" s="461"/>
      <c r="T133" s="53"/>
      <c r="Y133" s="292" t="s">
        <v>426</v>
      </c>
      <c r="Z133" s="557">
        <f>Psos</f>
        <v>49.817025286380328</v>
      </c>
      <c r="AA133" s="560" t="s">
        <v>423</v>
      </c>
      <c r="AB133" s="561"/>
      <c r="AC133" s="561"/>
      <c r="AD133" s="561"/>
      <c r="AE133" s="561"/>
      <c r="AF133" s="561"/>
      <c r="AG133" s="561"/>
      <c r="AH133" s="562"/>
      <c r="AI133" s="235">
        <v>9.9999999999999995E-7</v>
      </c>
      <c r="AJ133" s="236">
        <v>0</v>
      </c>
      <c r="AK133" s="237">
        <v>5.0000000000000001E-3</v>
      </c>
      <c r="AL133" s="563">
        <f>IF(OR($Z$133&lt;AJ133,$Z$133&gt;AK136),"Out of Range",INDEX(AI133:AI136,MATCH(Z133,AJ133:AJ136,1)))</f>
        <v>1</v>
      </c>
      <c r="AM133" s="564"/>
    </row>
    <row r="134" spans="16:39" x14ac:dyDescent="0.3">
      <c r="P134" s="53"/>
      <c r="Q134" s="461"/>
      <c r="R134" s="461"/>
      <c r="T134" s="53"/>
      <c r="Y134" s="292" t="s">
        <v>427</v>
      </c>
      <c r="Z134" s="558"/>
      <c r="AA134" s="294">
        <v>939.322</v>
      </c>
      <c r="AB134" s="295">
        <v>1544.34</v>
      </c>
      <c r="AC134" s="295">
        <v>1042.1099999999999</v>
      </c>
      <c r="AD134" s="295">
        <v>371.57499999999999</v>
      </c>
      <c r="AE134" s="295">
        <v>73.791799999999995</v>
      </c>
      <c r="AF134" s="295">
        <v>7.7487899999999996</v>
      </c>
      <c r="AG134" s="295">
        <v>0.33639799999999997</v>
      </c>
      <c r="AH134" s="296">
        <v>0</v>
      </c>
      <c r="AI134" s="97" t="e">
        <f>EXP(AA134+AB134*LN($Z$133)+AC134*(LN($Z$133))^2+AD134*(LN($Z$133))^3+AE134*(LN($Z$133))^4+AF134*(LN($Z$133))^5+AG134*(LN($Z$133))^6+AH134*(LN($Z$133))^7)</f>
        <v>#NUM!</v>
      </c>
      <c r="AJ134" s="236">
        <v>5.0000000000000001E-3</v>
      </c>
      <c r="AK134" s="237">
        <v>6.0999999999999999E-2</v>
      </c>
      <c r="AL134" s="565"/>
      <c r="AM134" s="566"/>
    </row>
    <row r="135" spans="16:39" x14ac:dyDescent="0.3">
      <c r="P135" s="53"/>
      <c r="Q135" s="461"/>
      <c r="R135" s="461"/>
      <c r="T135" s="53"/>
      <c r="Y135" s="292" t="s">
        <v>428</v>
      </c>
      <c r="Z135" s="558"/>
      <c r="AA135" s="294">
        <v>1.0329999999999999</v>
      </c>
      <c r="AB135" s="295">
        <v>7.4820099999999998</v>
      </c>
      <c r="AC135" s="295">
        <v>19.752600000000001</v>
      </c>
      <c r="AD135" s="295">
        <v>23.275700000000001</v>
      </c>
      <c r="AE135" s="295">
        <v>12.300599999999999</v>
      </c>
      <c r="AF135" s="295">
        <v>3.0989800000000001</v>
      </c>
      <c r="AG135" s="295">
        <v>0.299983</v>
      </c>
      <c r="AH135" s="296">
        <v>0</v>
      </c>
      <c r="AI135" s="97" t="e">
        <f>EXP(AA135+AB135*LN($Z$133)+AC135*(LN($Z$133))^2+AD135*(LN($Z$133))^3+AE135*(LN($Z$133))^4+AF135*(LN($Z$133))^5+AG135*(LN($Z$133))^6+AH135*(LN($Z$133))^7)</f>
        <v>#NUM!</v>
      </c>
      <c r="AJ135" s="92">
        <v>6.0999999999999999E-2</v>
      </c>
      <c r="AK135" s="195">
        <v>0.6</v>
      </c>
      <c r="AL135" s="565"/>
      <c r="AM135" s="566"/>
    </row>
    <row r="136" spans="16:39" ht="18.600000000000001" thickBot="1" x14ac:dyDescent="0.45">
      <c r="P136" s="53"/>
      <c r="Q136" s="461"/>
      <c r="R136" s="461"/>
      <c r="T136" s="53"/>
      <c r="Y136" s="293" t="s">
        <v>429</v>
      </c>
      <c r="Z136" s="559"/>
      <c r="AA136" s="569" t="s">
        <v>424</v>
      </c>
      <c r="AB136" s="570"/>
      <c r="AC136" s="570"/>
      <c r="AD136" s="570"/>
      <c r="AE136" s="570"/>
      <c r="AF136" s="570"/>
      <c r="AG136" s="570"/>
      <c r="AH136" s="571"/>
      <c r="AI136" s="174">
        <v>1</v>
      </c>
      <c r="AJ136" s="81">
        <v>0.6</v>
      </c>
      <c r="AK136" s="214">
        <v>100000</v>
      </c>
      <c r="AL136" s="567"/>
      <c r="AM136" s="568"/>
    </row>
    <row r="137" spans="16:39" x14ac:dyDescent="0.3">
      <c r="P137" s="53"/>
      <c r="Q137" s="461"/>
      <c r="R137" s="461"/>
      <c r="T137" s="53"/>
    </row>
    <row r="138" spans="16:39" ht="18.600000000000001" thickBot="1" x14ac:dyDescent="0.35">
      <c r="P138" s="53"/>
      <c r="Q138" s="461"/>
      <c r="R138" s="461"/>
      <c r="T138" s="53"/>
      <c r="Y138" s="61" t="s">
        <v>430</v>
      </c>
      <c r="Z138" s="243"/>
      <c r="AA138" s="243"/>
      <c r="AB138" s="243"/>
      <c r="AC138" s="243"/>
      <c r="AD138" s="243"/>
      <c r="AE138" s="243"/>
      <c r="AF138" s="243"/>
      <c r="AG138" s="243"/>
      <c r="AH138" s="53"/>
    </row>
    <row r="139" spans="16:39" ht="16.8" thickBot="1" x14ac:dyDescent="0.4">
      <c r="P139" s="53"/>
      <c r="Q139" s="461"/>
      <c r="R139" s="461"/>
      <c r="T139" s="53"/>
      <c r="Y139" s="572" t="s">
        <v>417</v>
      </c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4"/>
    </row>
    <row r="140" spans="16:39" ht="16.2" thickBot="1" x14ac:dyDescent="0.35">
      <c r="P140" s="53"/>
      <c r="Q140" s="461"/>
      <c r="R140" s="461"/>
      <c r="T140" s="53"/>
      <c r="Y140" s="542" t="s">
        <v>330</v>
      </c>
      <c r="Z140" s="544" t="s">
        <v>416</v>
      </c>
      <c r="AA140" s="546" t="s">
        <v>415</v>
      </c>
      <c r="AB140" s="547"/>
      <c r="AC140" s="547"/>
      <c r="AD140" s="547"/>
      <c r="AE140" s="547"/>
      <c r="AF140" s="547"/>
      <c r="AG140" s="547"/>
      <c r="AH140" s="548"/>
      <c r="AI140" s="549" t="s">
        <v>397</v>
      </c>
      <c r="AJ140" s="551" t="s">
        <v>267</v>
      </c>
      <c r="AK140" s="552"/>
      <c r="AL140" s="553" t="s">
        <v>399</v>
      </c>
      <c r="AM140" s="554"/>
    </row>
    <row r="141" spans="16:39" ht="16.2" thickBot="1" x14ac:dyDescent="0.35">
      <c r="Y141" s="543"/>
      <c r="Z141" s="545"/>
      <c r="AA141" s="228" t="s">
        <v>87</v>
      </c>
      <c r="AB141" s="229" t="s">
        <v>88</v>
      </c>
      <c r="AC141" s="229" t="s">
        <v>89</v>
      </c>
      <c r="AD141" s="229" t="s">
        <v>37</v>
      </c>
      <c r="AE141" s="229" t="s">
        <v>90</v>
      </c>
      <c r="AF141" s="229" t="s">
        <v>91</v>
      </c>
      <c r="AG141" s="229" t="s">
        <v>92</v>
      </c>
      <c r="AH141" s="230" t="s">
        <v>93</v>
      </c>
      <c r="AI141" s="550"/>
      <c r="AJ141" s="81" t="s">
        <v>421</v>
      </c>
      <c r="AK141" s="81" t="s">
        <v>422</v>
      </c>
      <c r="AL141" s="555"/>
      <c r="AM141" s="556"/>
    </row>
    <row r="142" spans="16:39" ht="16.2" thickTop="1" x14ac:dyDescent="0.3">
      <c r="Y142" s="292" t="s">
        <v>431</v>
      </c>
      <c r="Z142" s="557">
        <f>Psos</f>
        <v>49.817025286380328</v>
      </c>
      <c r="AA142" s="560" t="s">
        <v>423</v>
      </c>
      <c r="AB142" s="561"/>
      <c r="AC142" s="561"/>
      <c r="AD142" s="561"/>
      <c r="AE142" s="561"/>
      <c r="AF142" s="561"/>
      <c r="AG142" s="561"/>
      <c r="AH142" s="562"/>
      <c r="AI142" s="235">
        <v>9.9999999999999995E-7</v>
      </c>
      <c r="AJ142" s="236">
        <v>0</v>
      </c>
      <c r="AK142" s="237">
        <v>1E-3</v>
      </c>
      <c r="AL142" s="563">
        <f>IF(OR($Z$142&lt;AJ142,$Z$142&gt;AK145),"Out of Range",INDEX(AI142:AI145,MATCH(Z142,AJ142:AJ145,1)))</f>
        <v>1</v>
      </c>
      <c r="AM142" s="564"/>
    </row>
    <row r="143" spans="16:39" x14ac:dyDescent="0.3">
      <c r="Y143" s="292" t="s">
        <v>432</v>
      </c>
      <c r="Z143" s="558"/>
      <c r="AA143" s="294">
        <v>1211.23</v>
      </c>
      <c r="AB143" s="295">
        <v>1513.03</v>
      </c>
      <c r="AC143" s="295">
        <v>742.56399999999996</v>
      </c>
      <c r="AD143" s="295">
        <v>179.108</v>
      </c>
      <c r="AE143" s="295">
        <v>20.589500000000001</v>
      </c>
      <c r="AF143" s="295">
        <v>0.77562600000000004</v>
      </c>
      <c r="AG143" s="295">
        <v>-1.9636299999999999E-2</v>
      </c>
      <c r="AH143" s="296">
        <v>0</v>
      </c>
      <c r="AI143" s="97" t="e">
        <f>EXP(AA143+AB143*LN($Z$142)+AC143*(LN($Z$142))^2+AD143*(LN($Z$142))^3+AE143*(LN($Z$142))^4+AF143*(LN($Z$142))^5+AG143*(LN($Z$142))^6+AH143*(LN($Z$142))^7)</f>
        <v>#NUM!</v>
      </c>
      <c r="AJ143" s="236">
        <v>1E-3</v>
      </c>
      <c r="AK143" s="237">
        <v>0.05</v>
      </c>
      <c r="AL143" s="565"/>
      <c r="AM143" s="566"/>
    </row>
    <row r="144" spans="16:39" x14ac:dyDescent="0.3">
      <c r="Y144" s="292" t="s">
        <v>433</v>
      </c>
      <c r="Z144" s="558"/>
      <c r="AA144" s="294">
        <v>25.457899999999999</v>
      </c>
      <c r="AB144" s="295">
        <v>94.079300000000003</v>
      </c>
      <c r="AC144" s="295">
        <v>137.08500000000001</v>
      </c>
      <c r="AD144" s="295">
        <v>100.02800000000001</v>
      </c>
      <c r="AE144" s="295">
        <v>38.538800000000002</v>
      </c>
      <c r="AF144" s="295">
        <v>7.5737300000000003</v>
      </c>
      <c r="AG144" s="295">
        <v>0.59882400000000002</v>
      </c>
      <c r="AH144" s="296">
        <v>0</v>
      </c>
      <c r="AI144" s="97" t="e">
        <f>EXP(AA144+AB144*LN($Z$142)+AC144*(LN($Z$142))^2+AD144*(LN($Z$142))^3+AE144*(LN($Z$142))^4+AF144*(LN($Z$142))^5+AG144*(LN($Z$142))^6+AH144*(LN($Z$142))^7)</f>
        <v>#NUM!</v>
      </c>
      <c r="AJ144" s="92">
        <v>0.05</v>
      </c>
      <c r="AK144" s="195">
        <v>0.36</v>
      </c>
      <c r="AL144" s="565"/>
      <c r="AM144" s="566"/>
    </row>
    <row r="145" spans="25:39" ht="18.600000000000001" thickBot="1" x14ac:dyDescent="0.45">
      <c r="Y145" s="293" t="s">
        <v>434</v>
      </c>
      <c r="Z145" s="559"/>
      <c r="AA145" s="569" t="s">
        <v>424</v>
      </c>
      <c r="AB145" s="570"/>
      <c r="AC145" s="570"/>
      <c r="AD145" s="570"/>
      <c r="AE145" s="570"/>
      <c r="AF145" s="570"/>
      <c r="AG145" s="570"/>
      <c r="AH145" s="571"/>
      <c r="AI145" s="174">
        <v>1</v>
      </c>
      <c r="AJ145" s="81">
        <v>0.36</v>
      </c>
      <c r="AK145" s="214">
        <v>100000</v>
      </c>
      <c r="AL145" s="567"/>
      <c r="AM145" s="568"/>
    </row>
    <row r="147" spans="25:39" ht="18.600000000000001" thickBot="1" x14ac:dyDescent="0.35">
      <c r="Y147" s="61" t="s">
        <v>435</v>
      </c>
      <c r="Z147" s="243"/>
      <c r="AA147" s="243"/>
      <c r="AB147" s="243"/>
      <c r="AC147" s="243"/>
      <c r="AD147" s="243"/>
      <c r="AE147" s="243"/>
      <c r="AF147" s="243"/>
      <c r="AG147" s="243"/>
      <c r="AH147" s="53"/>
    </row>
    <row r="148" spans="25:39" ht="16.8" thickBot="1" x14ac:dyDescent="0.4">
      <c r="Y148" s="572" t="s">
        <v>417</v>
      </c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4"/>
    </row>
    <row r="149" spans="25:39" ht="16.2" thickBot="1" x14ac:dyDescent="0.35">
      <c r="Y149" s="542" t="s">
        <v>330</v>
      </c>
      <c r="Z149" s="544" t="s">
        <v>416</v>
      </c>
      <c r="AA149" s="546" t="s">
        <v>415</v>
      </c>
      <c r="AB149" s="547"/>
      <c r="AC149" s="547"/>
      <c r="AD149" s="547"/>
      <c r="AE149" s="547"/>
      <c r="AF149" s="547"/>
      <c r="AG149" s="547"/>
      <c r="AH149" s="548"/>
      <c r="AI149" s="549" t="s">
        <v>397</v>
      </c>
      <c r="AJ149" s="551" t="s">
        <v>267</v>
      </c>
      <c r="AK149" s="552"/>
      <c r="AL149" s="553" t="s">
        <v>399</v>
      </c>
      <c r="AM149" s="554"/>
    </row>
    <row r="150" spans="25:39" ht="16.2" thickBot="1" x14ac:dyDescent="0.35">
      <c r="Y150" s="543"/>
      <c r="Z150" s="545"/>
      <c r="AA150" s="228" t="s">
        <v>87</v>
      </c>
      <c r="AB150" s="229" t="s">
        <v>88</v>
      </c>
      <c r="AC150" s="229" t="s">
        <v>89</v>
      </c>
      <c r="AD150" s="229" t="s">
        <v>37</v>
      </c>
      <c r="AE150" s="229" t="s">
        <v>90</v>
      </c>
      <c r="AF150" s="229" t="s">
        <v>91</v>
      </c>
      <c r="AG150" s="229" t="s">
        <v>92</v>
      </c>
      <c r="AH150" s="230" t="s">
        <v>93</v>
      </c>
      <c r="AI150" s="550"/>
      <c r="AJ150" s="81" t="s">
        <v>421</v>
      </c>
      <c r="AK150" s="81" t="s">
        <v>422</v>
      </c>
      <c r="AL150" s="555"/>
      <c r="AM150" s="556"/>
    </row>
    <row r="151" spans="25:39" ht="16.2" thickTop="1" x14ac:dyDescent="0.3">
      <c r="Y151" s="292" t="s">
        <v>436</v>
      </c>
      <c r="Z151" s="557">
        <f>Psos</f>
        <v>49.817025286380328</v>
      </c>
      <c r="AA151" s="560" t="s">
        <v>423</v>
      </c>
      <c r="AB151" s="561"/>
      <c r="AC151" s="561"/>
      <c r="AD151" s="561"/>
      <c r="AE151" s="561"/>
      <c r="AF151" s="561"/>
      <c r="AG151" s="561"/>
      <c r="AH151" s="562"/>
      <c r="AI151" s="235">
        <v>9.9999999999999995E-7</v>
      </c>
      <c r="AJ151" s="236">
        <v>0</v>
      </c>
      <c r="AK151" s="237">
        <v>1E-3</v>
      </c>
      <c r="AL151" s="563">
        <f>IF(OR($Z$151&lt;AJ151,$Z$151&gt;AK154),"Out of Range",INDEX(AI151:AI154,MATCH(Z151,AJ151:AJ154,1)))</f>
        <v>1</v>
      </c>
      <c r="AM151" s="564"/>
    </row>
    <row r="152" spans="25:39" x14ac:dyDescent="0.3">
      <c r="Y152" s="292" t="s">
        <v>437</v>
      </c>
      <c r="Z152" s="558"/>
      <c r="AA152" s="294">
        <v>-11.636900000000001</v>
      </c>
      <c r="AB152" s="295">
        <v>-21.005600000000001</v>
      </c>
      <c r="AC152" s="295">
        <v>-16.586500000000001</v>
      </c>
      <c r="AD152" s="295">
        <v>-6.6107699999999996</v>
      </c>
      <c r="AE152" s="295">
        <v>-1.60083</v>
      </c>
      <c r="AF152" s="295">
        <v>-0.212086</v>
      </c>
      <c r="AG152" s="295">
        <v>-1.16364E-2</v>
      </c>
      <c r="AH152" s="296">
        <v>0</v>
      </c>
      <c r="AI152" s="97">
        <f>EXP(AA152+AB152*LN($Z$151)+AC152*(LN($Z$151))^2+AD152*(LN($Z$151))^3+AE152*(LN($Z$151))^4+AF152*(LN($Z$151))^5+AG152*(LN($Z$151))^6+AH152*(LN($Z$151))^7)</f>
        <v>0</v>
      </c>
      <c r="AJ152" s="236">
        <v>1E-3</v>
      </c>
      <c r="AK152" s="237">
        <v>0.19</v>
      </c>
      <c r="AL152" s="565"/>
      <c r="AM152" s="566"/>
    </row>
    <row r="153" spans="25:39" x14ac:dyDescent="0.3">
      <c r="Y153" s="292" t="s">
        <v>438</v>
      </c>
      <c r="Z153" s="558"/>
      <c r="AA153" s="294">
        <v>-45.288899999999998</v>
      </c>
      <c r="AB153" s="295">
        <v>-268.89600000000002</v>
      </c>
      <c r="AC153" s="295">
        <v>-655.19100000000003</v>
      </c>
      <c r="AD153" s="295">
        <v>-836.37900000000002</v>
      </c>
      <c r="AE153" s="295">
        <v>-587.31600000000003</v>
      </c>
      <c r="AF153" s="295">
        <v>-213.911</v>
      </c>
      <c r="AG153" s="295">
        <v>-31.5459</v>
      </c>
      <c r="AH153" s="296">
        <v>0</v>
      </c>
      <c r="AI153" s="97">
        <f>EXP(AA153+AB153*LN($Z$151)+AC153*(LN($Z$151))^2+AD153*(LN($Z$151))^3+AE153*(LN($Z$151))^4+AF153*(LN($Z$151))^5+AG153*(LN($Z$151))^6+AH153*(LN($Z$151))^7)</f>
        <v>0</v>
      </c>
      <c r="AJ153" s="92">
        <v>0.19</v>
      </c>
      <c r="AK153" s="195">
        <v>0.5</v>
      </c>
      <c r="AL153" s="565"/>
      <c r="AM153" s="566"/>
    </row>
    <row r="154" spans="25:39" ht="18.600000000000001" thickBot="1" x14ac:dyDescent="0.45">
      <c r="Y154" s="293" t="s">
        <v>439</v>
      </c>
      <c r="Z154" s="559"/>
      <c r="AA154" s="569" t="s">
        <v>424</v>
      </c>
      <c r="AB154" s="570"/>
      <c r="AC154" s="570"/>
      <c r="AD154" s="570"/>
      <c r="AE154" s="570"/>
      <c r="AF154" s="570"/>
      <c r="AG154" s="570"/>
      <c r="AH154" s="571"/>
      <c r="AI154" s="174">
        <v>1</v>
      </c>
      <c r="AJ154" s="81">
        <v>0.5</v>
      </c>
      <c r="AK154" s="214">
        <v>100000</v>
      </c>
      <c r="AL154" s="567"/>
      <c r="AM154" s="568"/>
    </row>
    <row r="156" spans="25:39" ht="18.600000000000001" thickBot="1" x14ac:dyDescent="0.35">
      <c r="Y156" s="61" t="s">
        <v>440</v>
      </c>
      <c r="Z156" s="243"/>
      <c r="AA156" s="243"/>
      <c r="AB156" s="243"/>
      <c r="AC156" s="243"/>
      <c r="AD156" s="243"/>
      <c r="AE156" s="243"/>
      <c r="AF156" s="243"/>
      <c r="AG156" s="243"/>
      <c r="AH156" s="53"/>
    </row>
    <row r="157" spans="25:39" ht="16.8" thickBot="1" x14ac:dyDescent="0.4">
      <c r="Y157" s="572" t="s">
        <v>417</v>
      </c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4"/>
    </row>
    <row r="158" spans="25:39" ht="16.2" thickBot="1" x14ac:dyDescent="0.35">
      <c r="Y158" s="542" t="s">
        <v>330</v>
      </c>
      <c r="Z158" s="544" t="s">
        <v>416</v>
      </c>
      <c r="AA158" s="546" t="s">
        <v>415</v>
      </c>
      <c r="AB158" s="547"/>
      <c r="AC158" s="547"/>
      <c r="AD158" s="547"/>
      <c r="AE158" s="547"/>
      <c r="AF158" s="547"/>
      <c r="AG158" s="547"/>
      <c r="AH158" s="548"/>
      <c r="AI158" s="549" t="s">
        <v>397</v>
      </c>
      <c r="AJ158" s="551" t="s">
        <v>267</v>
      </c>
      <c r="AK158" s="552"/>
      <c r="AL158" s="553" t="s">
        <v>399</v>
      </c>
      <c r="AM158" s="554"/>
    </row>
    <row r="159" spans="25:39" ht="16.2" thickBot="1" x14ac:dyDescent="0.35">
      <c r="Y159" s="543"/>
      <c r="Z159" s="545"/>
      <c r="AA159" s="228" t="s">
        <v>87</v>
      </c>
      <c r="AB159" s="229" t="s">
        <v>88</v>
      </c>
      <c r="AC159" s="229" t="s">
        <v>89</v>
      </c>
      <c r="AD159" s="229" t="s">
        <v>37</v>
      </c>
      <c r="AE159" s="229" t="s">
        <v>90</v>
      </c>
      <c r="AF159" s="229" t="s">
        <v>91</v>
      </c>
      <c r="AG159" s="229" t="s">
        <v>92</v>
      </c>
      <c r="AH159" s="230" t="s">
        <v>93</v>
      </c>
      <c r="AI159" s="550"/>
      <c r="AJ159" s="81" t="s">
        <v>421</v>
      </c>
      <c r="AK159" s="81" t="s">
        <v>422</v>
      </c>
      <c r="AL159" s="555"/>
      <c r="AM159" s="556"/>
    </row>
    <row r="160" spans="25:39" ht="16.2" thickTop="1" x14ac:dyDescent="0.3">
      <c r="Y160" s="292" t="s">
        <v>441</v>
      </c>
      <c r="Z160" s="557">
        <f>Psos</f>
        <v>49.817025286380328</v>
      </c>
      <c r="AA160" s="560" t="s">
        <v>423</v>
      </c>
      <c r="AB160" s="561"/>
      <c r="AC160" s="561"/>
      <c r="AD160" s="561"/>
      <c r="AE160" s="561"/>
      <c r="AF160" s="561"/>
      <c r="AG160" s="561"/>
      <c r="AH160" s="562"/>
      <c r="AI160" s="235">
        <v>1.0000000000000001E-5</v>
      </c>
      <c r="AJ160" s="236">
        <v>0</v>
      </c>
      <c r="AK160" s="237">
        <v>7.0000000000000001E-3</v>
      </c>
      <c r="AL160" s="563">
        <f>IF(OR($Z$160&lt;AJ160,$Z$160&gt;AK163),"Out of Range",INDEX(AI160:AI163,MATCH(Z160,AJ160:AJ163,1)))</f>
        <v>1</v>
      </c>
      <c r="AM160" s="564"/>
    </row>
    <row r="161" spans="25:39" x14ac:dyDescent="0.3">
      <c r="Y161" s="292" t="s">
        <v>442</v>
      </c>
      <c r="Z161" s="558"/>
      <c r="AA161" s="294">
        <v>1845.5</v>
      </c>
      <c r="AB161" s="295">
        <v>3003.31</v>
      </c>
      <c r="AC161" s="295">
        <v>2019.41</v>
      </c>
      <c r="AD161" s="295">
        <v>719.08900000000006</v>
      </c>
      <c r="AE161" s="295">
        <v>142.989</v>
      </c>
      <c r="AF161" s="295">
        <v>15.064500000000001</v>
      </c>
      <c r="AG161" s="295">
        <v>0.65720100000000004</v>
      </c>
      <c r="AH161" s="296">
        <v>0</v>
      </c>
      <c r="AI161" s="97" t="e">
        <f>EXP(AA161+AB161*LN($Z$160)+AC161*(LN($Z$160))^2+AD161*(LN($Z$160))^3+AE161*(LN($Z$160))^4+AF161*(LN($Z$160))^5+AG161*(LN($Z$160))^6+AH161*(LN($Z$160))^7)</f>
        <v>#NUM!</v>
      </c>
      <c r="AJ161" s="236">
        <v>7.0000000000000001E-3</v>
      </c>
      <c r="AK161" s="237">
        <v>6.3E-2</v>
      </c>
      <c r="AL161" s="565"/>
      <c r="AM161" s="566"/>
    </row>
    <row r="162" spans="25:39" x14ac:dyDescent="0.3">
      <c r="Y162" s="292" t="s">
        <v>443</v>
      </c>
      <c r="Z162" s="558"/>
      <c r="AA162" s="294">
        <v>101.349</v>
      </c>
      <c r="AB162" s="295">
        <v>324.40699999999998</v>
      </c>
      <c r="AC162" s="295">
        <v>420.91800000000001</v>
      </c>
      <c r="AD162" s="295">
        <v>283.803</v>
      </c>
      <c r="AE162" s="295">
        <v>105.396</v>
      </c>
      <c r="AF162" s="295">
        <v>20.610900000000001</v>
      </c>
      <c r="AG162" s="295">
        <v>1.6640900000000001</v>
      </c>
      <c r="AH162" s="296">
        <v>0</v>
      </c>
      <c r="AI162" s="97" t="e">
        <f>EXP(AA162+AB162*LN($Z$160)+AC162*(LN($Z$160))^2+AD162*(LN($Z$160))^3+AE162*(LN($Z$160))^4+AF162*(LN($Z$160))^5+AG162*(LN($Z$160))^6+AH162*(LN($Z$160))^7)</f>
        <v>#NUM!</v>
      </c>
      <c r="AJ162" s="92">
        <v>6.3E-2</v>
      </c>
      <c r="AK162" s="195">
        <v>0.25</v>
      </c>
      <c r="AL162" s="565"/>
      <c r="AM162" s="566"/>
    </row>
    <row r="163" spans="25:39" ht="18.600000000000001" thickBot="1" x14ac:dyDescent="0.45">
      <c r="Y163" s="293" t="s">
        <v>444</v>
      </c>
      <c r="Z163" s="559"/>
      <c r="AA163" s="569" t="s">
        <v>424</v>
      </c>
      <c r="AB163" s="570"/>
      <c r="AC163" s="570"/>
      <c r="AD163" s="570"/>
      <c r="AE163" s="570"/>
      <c r="AF163" s="570"/>
      <c r="AG163" s="570"/>
      <c r="AH163" s="571"/>
      <c r="AI163" s="174">
        <v>1</v>
      </c>
      <c r="AJ163" s="81">
        <v>0.25</v>
      </c>
      <c r="AK163" s="214">
        <v>100000</v>
      </c>
      <c r="AL163" s="567"/>
      <c r="AM163" s="568"/>
    </row>
    <row r="165" spans="25:39" ht="18.600000000000001" thickBot="1" x14ac:dyDescent="0.35">
      <c r="Y165" s="61" t="s">
        <v>445</v>
      </c>
      <c r="Z165" s="243"/>
      <c r="AA165" s="243"/>
      <c r="AB165" s="243"/>
      <c r="AC165" s="243"/>
      <c r="AD165" s="243"/>
      <c r="AE165" s="243"/>
      <c r="AF165" s="243"/>
      <c r="AG165" s="243"/>
      <c r="AH165" s="53"/>
    </row>
    <row r="166" spans="25:39" ht="16.8" thickBot="1" x14ac:dyDescent="0.4">
      <c r="Y166" s="572" t="s">
        <v>417</v>
      </c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4"/>
    </row>
    <row r="167" spans="25:39" ht="16.2" thickBot="1" x14ac:dyDescent="0.35">
      <c r="Y167" s="542" t="s">
        <v>330</v>
      </c>
      <c r="Z167" s="544" t="s">
        <v>416</v>
      </c>
      <c r="AA167" s="546" t="s">
        <v>415</v>
      </c>
      <c r="AB167" s="547"/>
      <c r="AC167" s="547"/>
      <c r="AD167" s="547"/>
      <c r="AE167" s="547"/>
      <c r="AF167" s="547"/>
      <c r="AG167" s="547"/>
      <c r="AH167" s="548"/>
      <c r="AI167" s="549" t="s">
        <v>397</v>
      </c>
      <c r="AJ167" s="551" t="s">
        <v>267</v>
      </c>
      <c r="AK167" s="552"/>
      <c r="AL167" s="553" t="s">
        <v>399</v>
      </c>
      <c r="AM167" s="554"/>
    </row>
    <row r="168" spans="25:39" ht="16.2" thickBot="1" x14ac:dyDescent="0.35">
      <c r="Y168" s="543"/>
      <c r="Z168" s="545"/>
      <c r="AA168" s="228" t="s">
        <v>87</v>
      </c>
      <c r="AB168" s="229" t="s">
        <v>88</v>
      </c>
      <c r="AC168" s="229" t="s">
        <v>89</v>
      </c>
      <c r="AD168" s="229" t="s">
        <v>37</v>
      </c>
      <c r="AE168" s="229" t="s">
        <v>90</v>
      </c>
      <c r="AF168" s="229" t="s">
        <v>91</v>
      </c>
      <c r="AG168" s="229" t="s">
        <v>92</v>
      </c>
      <c r="AH168" s="230" t="s">
        <v>93</v>
      </c>
      <c r="AI168" s="550"/>
      <c r="AJ168" s="81" t="s">
        <v>421</v>
      </c>
      <c r="AK168" s="81" t="s">
        <v>422</v>
      </c>
      <c r="AL168" s="555"/>
      <c r="AM168" s="556"/>
    </row>
    <row r="169" spans="25:39" ht="16.2" thickTop="1" x14ac:dyDescent="0.3">
      <c r="Y169" s="292" t="s">
        <v>446</v>
      </c>
      <c r="Z169" s="557">
        <f>Psos</f>
        <v>49.817025286380328</v>
      </c>
      <c r="AA169" s="560" t="s">
        <v>423</v>
      </c>
      <c r="AB169" s="561"/>
      <c r="AC169" s="561"/>
      <c r="AD169" s="561"/>
      <c r="AE169" s="561"/>
      <c r="AF169" s="561"/>
      <c r="AG169" s="561"/>
      <c r="AH169" s="562"/>
      <c r="AI169" s="235">
        <v>1.0000000000000001E-5</v>
      </c>
      <c r="AJ169" s="236">
        <v>0</v>
      </c>
      <c r="AK169" s="237">
        <v>3.3999999999999998E-3</v>
      </c>
      <c r="AL169" s="563">
        <f>IF(OR($Z$169&lt;AJ169,$Z$169&gt;AK171),"Out of Range",INDEX(AI169:AI171,MATCH(Z169,AJ169:AJ171,1)))</f>
        <v>1</v>
      </c>
      <c r="AM169" s="564"/>
    </row>
    <row r="170" spans="25:39" x14ac:dyDescent="0.3">
      <c r="Y170" s="292" t="s">
        <v>447</v>
      </c>
      <c r="Z170" s="558"/>
      <c r="AA170" s="294">
        <v>1.3539000000000001</v>
      </c>
      <c r="AB170" s="295">
        <v>6.1601499999999998</v>
      </c>
      <c r="AC170" s="295">
        <v>8.7467900000000007</v>
      </c>
      <c r="AD170" s="295">
        <v>5.2439799999999996</v>
      </c>
      <c r="AE170" s="295">
        <v>1.41124</v>
      </c>
      <c r="AF170" s="295">
        <v>0.185414</v>
      </c>
      <c r="AG170" s="295">
        <v>9.7176899999999993E-3</v>
      </c>
      <c r="AH170" s="296">
        <v>0</v>
      </c>
      <c r="AI170" s="97" t="e">
        <f>EXP(AA170+AB170*LN($Z$169)+AC170*(LN($Z$169))^2+AD170*(LN($Z$169))^3+AE170*(LN($Z$169))^4+AF170*(LN($Z$169))^5+AG170*(LN($Z$169))^6+AH170*(LN($Z$169))^7)</f>
        <v>#NUM!</v>
      </c>
      <c r="AJ170" s="236">
        <v>3.3999999999999998E-3</v>
      </c>
      <c r="AK170" s="237">
        <v>0.28999999999999998</v>
      </c>
      <c r="AL170" s="565"/>
      <c r="AM170" s="566"/>
    </row>
    <row r="171" spans="25:39" ht="18.600000000000001" thickBot="1" x14ac:dyDescent="0.45">
      <c r="Y171" s="293" t="s">
        <v>448</v>
      </c>
      <c r="Z171" s="559"/>
      <c r="AA171" s="569" t="s">
        <v>424</v>
      </c>
      <c r="AB171" s="570"/>
      <c r="AC171" s="570"/>
      <c r="AD171" s="570"/>
      <c r="AE171" s="570"/>
      <c r="AF171" s="570"/>
      <c r="AG171" s="570"/>
      <c r="AH171" s="571"/>
      <c r="AI171" s="174">
        <v>1</v>
      </c>
      <c r="AJ171" s="81">
        <v>0.28999999999999998</v>
      </c>
      <c r="AK171" s="214">
        <v>100000</v>
      </c>
      <c r="AL171" s="567"/>
      <c r="AM171" s="568"/>
    </row>
    <row r="173" spans="25:39" ht="16.2" thickBot="1" x14ac:dyDescent="0.35">
      <c r="Y173" s="61" t="s">
        <v>449</v>
      </c>
      <c r="Z173" s="243"/>
      <c r="AA173" s="243"/>
      <c r="AB173" s="243"/>
      <c r="AC173" s="243"/>
      <c r="AD173" s="243"/>
      <c r="AE173" s="243"/>
      <c r="AF173" s="243"/>
      <c r="AG173" s="243"/>
      <c r="AH173" s="53"/>
    </row>
    <row r="174" spans="25:39" ht="16.2" thickBot="1" x14ac:dyDescent="0.35">
      <c r="Y174" s="572" t="s">
        <v>452</v>
      </c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4"/>
    </row>
    <row r="175" spans="25:39" ht="16.2" thickBot="1" x14ac:dyDescent="0.35">
      <c r="Y175" s="542" t="s">
        <v>330</v>
      </c>
      <c r="Z175" s="544" t="s">
        <v>416</v>
      </c>
      <c r="AA175" s="546" t="s">
        <v>450</v>
      </c>
      <c r="AB175" s="547"/>
      <c r="AC175" s="547"/>
      <c r="AD175" s="547"/>
      <c r="AE175" s="547"/>
      <c r="AF175" s="547"/>
      <c r="AG175" s="547"/>
      <c r="AH175" s="548"/>
      <c r="AI175" s="549" t="s">
        <v>397</v>
      </c>
      <c r="AJ175" s="551" t="s">
        <v>267</v>
      </c>
      <c r="AK175" s="552"/>
      <c r="AL175" s="553" t="s">
        <v>399</v>
      </c>
      <c r="AM175" s="554"/>
    </row>
    <row r="176" spans="25:39" ht="16.2" thickBot="1" x14ac:dyDescent="0.35">
      <c r="Y176" s="543"/>
      <c r="Z176" s="545"/>
      <c r="AA176" s="228" t="s">
        <v>87</v>
      </c>
      <c r="AB176" s="229" t="s">
        <v>88</v>
      </c>
      <c r="AC176" s="229" t="s">
        <v>89</v>
      </c>
      <c r="AD176" s="229" t="s">
        <v>37</v>
      </c>
      <c r="AE176" s="229" t="s">
        <v>90</v>
      </c>
      <c r="AF176" s="229" t="s">
        <v>91</v>
      </c>
      <c r="AG176" s="229" t="s">
        <v>92</v>
      </c>
      <c r="AH176" s="230" t="s">
        <v>93</v>
      </c>
      <c r="AI176" s="550"/>
      <c r="AJ176" s="81" t="s">
        <v>421</v>
      </c>
      <c r="AK176" s="81" t="s">
        <v>422</v>
      </c>
      <c r="AL176" s="555"/>
      <c r="AM176" s="556"/>
    </row>
    <row r="177" spans="25:39" ht="16.8" thickTop="1" thickBot="1" x14ac:dyDescent="0.35">
      <c r="Y177" s="279" t="s">
        <v>451</v>
      </c>
      <c r="Z177" s="287">
        <f>Psos</f>
        <v>49.817025286380328</v>
      </c>
      <c r="AA177" s="280">
        <v>3.8111999999999999</v>
      </c>
      <c r="AB177" s="281">
        <v>-0.77824000000000004</v>
      </c>
      <c r="AC177" s="281">
        <v>1.8551000000000002E-2</v>
      </c>
      <c r="AD177" s="260">
        <v>2.2446000000000001E-2</v>
      </c>
      <c r="AE177" s="260">
        <v>-4.6370999999999999E-3</v>
      </c>
      <c r="AF177" s="260">
        <v>2.4552999999999999E-4</v>
      </c>
      <c r="AG177" s="260">
        <v>0</v>
      </c>
      <c r="AH177" s="261">
        <v>0</v>
      </c>
      <c r="AI177" s="174">
        <f>IF(Z177="Out of Range","Out of Range",EXP(AA177+AB177*LN($Z$177)+AC177*(LN($Z$177))^2+AD177*(LN($Z$177))^3+AE177*(LN($Z$177))^4+AF177*(LN($Z$177))^5+AG177*(LN($Z$177))^6+AH177*(LN($Z$177))^7))</f>
        <v>4.6408817253981249</v>
      </c>
      <c r="AJ177" s="81">
        <v>0</v>
      </c>
      <c r="AK177" s="214">
        <v>100000</v>
      </c>
      <c r="AL177" s="540">
        <f>IF(Z177="Out of Range","Out of Range",AI177)</f>
        <v>4.6408817253981249</v>
      </c>
      <c r="AM177" s="541"/>
    </row>
    <row r="254" spans="68:68" x14ac:dyDescent="0.3">
      <c r="BP254" s="109"/>
    </row>
    <row r="255" spans="68:68" x14ac:dyDescent="0.3">
      <c r="BP255" s="109"/>
    </row>
    <row r="256" spans="68:68" x14ac:dyDescent="0.3">
      <c r="BP256" s="109"/>
    </row>
    <row r="257" spans="68:68" x14ac:dyDescent="0.3">
      <c r="BP257" s="109"/>
    </row>
    <row r="258" spans="68:68" x14ac:dyDescent="0.3">
      <c r="BP258" s="109"/>
    </row>
    <row r="259" spans="68:68" x14ac:dyDescent="0.3">
      <c r="BP259" s="109"/>
    </row>
    <row r="260" spans="68:68" x14ac:dyDescent="0.3">
      <c r="BP260" s="109"/>
    </row>
    <row r="261" spans="68:68" x14ac:dyDescent="0.3">
      <c r="BP261" s="109"/>
    </row>
    <row r="262" spans="68:68" x14ac:dyDescent="0.3">
      <c r="BP262" s="109"/>
    </row>
    <row r="263" spans="68:68" x14ac:dyDescent="0.3">
      <c r="BP263" s="109"/>
    </row>
    <row r="264" spans="68:68" x14ac:dyDescent="0.3">
      <c r="BP264" s="109"/>
    </row>
    <row r="265" spans="68:68" x14ac:dyDescent="0.3">
      <c r="BP265" s="109"/>
    </row>
    <row r="266" spans="68:68" x14ac:dyDescent="0.3">
      <c r="BP266" s="109"/>
    </row>
    <row r="267" spans="68:68" x14ac:dyDescent="0.3">
      <c r="BP267" s="109"/>
    </row>
    <row r="268" spans="68:68" x14ac:dyDescent="0.3">
      <c r="BP268" s="109"/>
    </row>
    <row r="269" spans="68:68" x14ac:dyDescent="0.3">
      <c r="BP269" s="109"/>
    </row>
    <row r="270" spans="68:68" x14ac:dyDescent="0.3">
      <c r="BP270" s="109"/>
    </row>
    <row r="271" spans="68:68" x14ac:dyDescent="0.3">
      <c r="BP271" s="109"/>
    </row>
    <row r="272" spans="68:68" x14ac:dyDescent="0.3">
      <c r="BP272" s="109"/>
    </row>
  </sheetData>
  <sheetProtection password="E5C3" sheet="1" objects="1" scenarios="1"/>
  <dataConsolidate/>
  <customSheetViews>
    <customSheetView guid="{E7C7810C-4A5A-11D3-A990-00059AA0C83F}" showGridLines="0" showRuler="0">
      <selection activeCell="D14" sqref="D14"/>
      <rowBreaks count="1" manualBreakCount="1">
        <brk id="43" max="65535" man="1"/>
      </rowBreaks>
      <pageMargins left="0.75" right="0.75" top="1" bottom="1" header="0.5" footer="0.5"/>
      <printOptions horizontalCentered="1"/>
      <pageSetup paperSize="0" scale="64" orientation="portrait" horizontalDpi="4294967295" verticalDpi="4294967295"/>
      <headerFooter alignWithMargins="0">
        <oddHeader>&amp;C&amp;"Times New Roman,Bold"&amp;14DDESB BLAST EFFECTS COMPUTER (Version 2.0)</oddHeader>
      </headerFooter>
    </customSheetView>
  </customSheetViews>
  <mergeCells count="283">
    <mergeCell ref="BH16:BK16"/>
    <mergeCell ref="AW17:AZ17"/>
    <mergeCell ref="BH17:BK17"/>
    <mergeCell ref="BJ6:BL6"/>
    <mergeCell ref="BJ7:BL7"/>
    <mergeCell ref="BH10:BI10"/>
    <mergeCell ref="BJ10:BL10"/>
    <mergeCell ref="BJ13:BK13"/>
    <mergeCell ref="BH11:BK11"/>
    <mergeCell ref="BH9:BI9"/>
    <mergeCell ref="AW6:AX6"/>
    <mergeCell ref="BI14:BJ14"/>
    <mergeCell ref="AY7:BA7"/>
    <mergeCell ref="AW10:AX10"/>
    <mergeCell ref="BH12:BK12"/>
    <mergeCell ref="BJ9:BL9"/>
    <mergeCell ref="AW7:AX7"/>
    <mergeCell ref="BJ8:BL8"/>
    <mergeCell ref="BH8:BI8"/>
    <mergeCell ref="AY8:BA8"/>
    <mergeCell ref="AY10:BA10"/>
    <mergeCell ref="U122:V122"/>
    <mergeCell ref="Q130:R130"/>
    <mergeCell ref="Y46:AA46"/>
    <mergeCell ref="Y33:AA33"/>
    <mergeCell ref="Y42:AN42"/>
    <mergeCell ref="Y35:AA35"/>
    <mergeCell ref="Y47:AA47"/>
    <mergeCell ref="Y66:AM66"/>
    <mergeCell ref="Y67:Y68"/>
    <mergeCell ref="AI59:AI60"/>
    <mergeCell ref="AA67:AH67"/>
    <mergeCell ref="AI67:AI68"/>
    <mergeCell ref="AL67:AM68"/>
    <mergeCell ref="Y51:AA51"/>
    <mergeCell ref="Q116:R116"/>
    <mergeCell ref="Y74:AM74"/>
    <mergeCell ref="AJ59:AK59"/>
    <mergeCell ref="AJ67:AK67"/>
    <mergeCell ref="Y82:AM82"/>
    <mergeCell ref="AL75:AM76"/>
    <mergeCell ref="AL61:AM63"/>
    <mergeCell ref="Y75:Y76"/>
    <mergeCell ref="Z75:Z76"/>
    <mergeCell ref="Z69:Z71"/>
    <mergeCell ref="C2:L2"/>
    <mergeCell ref="C18:L18"/>
    <mergeCell ref="C20:E20"/>
    <mergeCell ref="I20:L20"/>
    <mergeCell ref="C3:L3"/>
    <mergeCell ref="Y15:AO15"/>
    <mergeCell ref="AL3:AM3"/>
    <mergeCell ref="AB3:AH3"/>
    <mergeCell ref="Y3:Y4"/>
    <mergeCell ref="Z3:Z4"/>
    <mergeCell ref="Y5:AO5"/>
    <mergeCell ref="AJ3:AK3"/>
    <mergeCell ref="AN3:AN4"/>
    <mergeCell ref="AO3:AO4"/>
    <mergeCell ref="F16:L16"/>
    <mergeCell ref="F15:L15"/>
    <mergeCell ref="F13:L13"/>
    <mergeCell ref="E4:F4"/>
    <mergeCell ref="E5:F5"/>
    <mergeCell ref="E9:F9"/>
    <mergeCell ref="E7:F7"/>
    <mergeCell ref="E8:F8"/>
    <mergeCell ref="AI3:AI4"/>
    <mergeCell ref="AA3:AA4"/>
    <mergeCell ref="K4:L4"/>
    <mergeCell ref="K5:L5"/>
    <mergeCell ref="K9:L9"/>
    <mergeCell ref="F51:G51"/>
    <mergeCell ref="F52:G52"/>
    <mergeCell ref="F47:G47"/>
    <mergeCell ref="F48:G48"/>
    <mergeCell ref="F38:G38"/>
    <mergeCell ref="F32:G32"/>
    <mergeCell ref="F33:G33"/>
    <mergeCell ref="F34:G34"/>
    <mergeCell ref="K8:L8"/>
    <mergeCell ref="AO27:AO28"/>
    <mergeCell ref="Y27:AA28"/>
    <mergeCell ref="AB27:AH27"/>
    <mergeCell ref="AI27:AI28"/>
    <mergeCell ref="AJ27:AK27"/>
    <mergeCell ref="AL27:AM27"/>
    <mergeCell ref="Y30:AA30"/>
    <mergeCell ref="Y31:AA31"/>
    <mergeCell ref="Y32:AA32"/>
    <mergeCell ref="AN27:AN28"/>
    <mergeCell ref="Y29:AN29"/>
    <mergeCell ref="Z61:Z63"/>
    <mergeCell ref="Z59:Z60"/>
    <mergeCell ref="AA63:AH63"/>
    <mergeCell ref="AA59:AH59"/>
    <mergeCell ref="Y58:AM58"/>
    <mergeCell ref="Y44:AA44"/>
    <mergeCell ref="Y45:AA45"/>
    <mergeCell ref="Y34:AA34"/>
    <mergeCell ref="Y59:Y60"/>
    <mergeCell ref="Y54:AA54"/>
    <mergeCell ref="AL59:AM60"/>
    <mergeCell ref="Y36:AA36"/>
    <mergeCell ref="Y49:AA49"/>
    <mergeCell ref="Y48:AA48"/>
    <mergeCell ref="AL69:AM71"/>
    <mergeCell ref="AA79:AH79"/>
    <mergeCell ref="Z77:Z79"/>
    <mergeCell ref="AL77:AM79"/>
    <mergeCell ref="Z67:Z68"/>
    <mergeCell ref="Y102:AM102"/>
    <mergeCell ref="AA103:AH103"/>
    <mergeCell ref="AI94:AI95"/>
    <mergeCell ref="AJ94:AK94"/>
    <mergeCell ref="AL94:AM95"/>
    <mergeCell ref="AA94:AH94"/>
    <mergeCell ref="Z96:Z99"/>
    <mergeCell ref="AJ83:AK83"/>
    <mergeCell ref="AI75:AI76"/>
    <mergeCell ref="AJ75:AK75"/>
    <mergeCell ref="AA75:AH75"/>
    <mergeCell ref="Y83:Y84"/>
    <mergeCell ref="Z83:Z84"/>
    <mergeCell ref="Y94:Y95"/>
    <mergeCell ref="Z94:Z95"/>
    <mergeCell ref="AL96:AM99"/>
    <mergeCell ref="AL83:AM84"/>
    <mergeCell ref="Z85:Z88"/>
    <mergeCell ref="AL85:AM88"/>
    <mergeCell ref="Y115:AM115"/>
    <mergeCell ref="AD88:AH88"/>
    <mergeCell ref="Y93:AM93"/>
    <mergeCell ref="AA83:AH83"/>
    <mergeCell ref="AI83:AI84"/>
    <mergeCell ref="AL105:AM105"/>
    <mergeCell ref="Y103:Y104"/>
    <mergeCell ref="Z103:Z104"/>
    <mergeCell ref="Y109:Y110"/>
    <mergeCell ref="Z109:Z110"/>
    <mergeCell ref="AI109:AI110"/>
    <mergeCell ref="AJ109:AK109"/>
    <mergeCell ref="AL109:AM110"/>
    <mergeCell ref="AL111:AM111"/>
    <mergeCell ref="AI103:AI104"/>
    <mergeCell ref="AJ103:AK103"/>
    <mergeCell ref="AL103:AM104"/>
    <mergeCell ref="Y108:AM108"/>
    <mergeCell ref="AA109:AH109"/>
    <mergeCell ref="AL118:AM119"/>
    <mergeCell ref="Z118:Z119"/>
    <mergeCell ref="Y122:AM122"/>
    <mergeCell ref="Y123:Y124"/>
    <mergeCell ref="Z123:Z124"/>
    <mergeCell ref="AA123:AH123"/>
    <mergeCell ref="AI123:AI124"/>
    <mergeCell ref="AJ123:AK123"/>
    <mergeCell ref="AA116:AH116"/>
    <mergeCell ref="Z116:Z117"/>
    <mergeCell ref="AL123:AM124"/>
    <mergeCell ref="AI116:AI117"/>
    <mergeCell ref="AJ116:AK116"/>
    <mergeCell ref="AL116:AM117"/>
    <mergeCell ref="Y116:Y117"/>
    <mergeCell ref="Z125:Z127"/>
    <mergeCell ref="AL125:AM127"/>
    <mergeCell ref="AA127:AH127"/>
    <mergeCell ref="AA125:AH125"/>
    <mergeCell ref="Y130:AM130"/>
    <mergeCell ref="Y131:Y132"/>
    <mergeCell ref="Z131:Z132"/>
    <mergeCell ref="AA131:AH131"/>
    <mergeCell ref="AI131:AI132"/>
    <mergeCell ref="AJ131:AK131"/>
    <mergeCell ref="AL131:AM132"/>
    <mergeCell ref="Y139:AM139"/>
    <mergeCell ref="Y140:Y141"/>
    <mergeCell ref="Z140:Z141"/>
    <mergeCell ref="AA140:AH140"/>
    <mergeCell ref="AI140:AI141"/>
    <mergeCell ref="AJ140:AK140"/>
    <mergeCell ref="AL140:AM141"/>
    <mergeCell ref="AA133:AH133"/>
    <mergeCell ref="AA136:AH136"/>
    <mergeCell ref="Z133:Z136"/>
    <mergeCell ref="AL133:AM136"/>
    <mergeCell ref="Z142:Z145"/>
    <mergeCell ref="AA142:AH142"/>
    <mergeCell ref="AL142:AM145"/>
    <mergeCell ref="AA145:AH145"/>
    <mergeCell ref="Y148:AM148"/>
    <mergeCell ref="Y149:Y150"/>
    <mergeCell ref="Z149:Z150"/>
    <mergeCell ref="AA149:AH149"/>
    <mergeCell ref="AI149:AI150"/>
    <mergeCell ref="AJ149:AK149"/>
    <mergeCell ref="Y158:Y159"/>
    <mergeCell ref="Z158:Z159"/>
    <mergeCell ref="AA158:AH158"/>
    <mergeCell ref="AI158:AI159"/>
    <mergeCell ref="AJ158:AK158"/>
    <mergeCell ref="AL158:AM159"/>
    <mergeCell ref="AL149:AM150"/>
    <mergeCell ref="Z151:Z154"/>
    <mergeCell ref="AA151:AH151"/>
    <mergeCell ref="AL151:AM154"/>
    <mergeCell ref="AA154:AH154"/>
    <mergeCell ref="Y157:AM157"/>
    <mergeCell ref="Z160:Z163"/>
    <mergeCell ref="AA160:AH160"/>
    <mergeCell ref="AL160:AM163"/>
    <mergeCell ref="AA163:AH163"/>
    <mergeCell ref="Y166:AM166"/>
    <mergeCell ref="Y167:Y168"/>
    <mergeCell ref="Z167:Z168"/>
    <mergeCell ref="AA167:AH167"/>
    <mergeCell ref="AI167:AI168"/>
    <mergeCell ref="AJ167:AK167"/>
    <mergeCell ref="AL177:AM177"/>
    <mergeCell ref="Y175:Y176"/>
    <mergeCell ref="Z175:Z176"/>
    <mergeCell ref="AA175:AH175"/>
    <mergeCell ref="AI175:AI176"/>
    <mergeCell ref="AJ175:AK175"/>
    <mergeCell ref="AL175:AM176"/>
    <mergeCell ref="AL167:AM168"/>
    <mergeCell ref="Z169:Z171"/>
    <mergeCell ref="AA169:AH169"/>
    <mergeCell ref="AL169:AM171"/>
    <mergeCell ref="AA171:AH171"/>
    <mergeCell ref="Y174:AM174"/>
    <mergeCell ref="AT4:BC4"/>
    <mergeCell ref="AY9:BA9"/>
    <mergeCell ref="AW11:AZ11"/>
    <mergeCell ref="AW12:AZ12"/>
    <mergeCell ref="AW9:AX9"/>
    <mergeCell ref="AW8:AX8"/>
    <mergeCell ref="AY6:BA6"/>
    <mergeCell ref="BF4:BN4"/>
    <mergeCell ref="BH6:BI6"/>
    <mergeCell ref="BH7:BI7"/>
    <mergeCell ref="Q118:R118"/>
    <mergeCell ref="I31:L31"/>
    <mergeCell ref="I32:L32"/>
    <mergeCell ref="F49:G49"/>
    <mergeCell ref="F50:G50"/>
    <mergeCell ref="F57:G57"/>
    <mergeCell ref="C63:D63"/>
    <mergeCell ref="C64:D64"/>
    <mergeCell ref="AW16:AZ16"/>
    <mergeCell ref="C66:L66"/>
    <mergeCell ref="C61:F61"/>
    <mergeCell ref="C60:F60"/>
    <mergeCell ref="G60:L60"/>
    <mergeCell ref="G61:L61"/>
    <mergeCell ref="C62:D62"/>
    <mergeCell ref="C31:G31"/>
    <mergeCell ref="F56:G56"/>
    <mergeCell ref="F44:G44"/>
    <mergeCell ref="F45:G45"/>
    <mergeCell ref="F46:G46"/>
    <mergeCell ref="F58:G58"/>
    <mergeCell ref="F53:G53"/>
    <mergeCell ref="F54:G54"/>
    <mergeCell ref="F55:G55"/>
    <mergeCell ref="D23:E23"/>
    <mergeCell ref="K10:L10"/>
    <mergeCell ref="K11:L11"/>
    <mergeCell ref="Y41:AA41"/>
    <mergeCell ref="Y37:AA37"/>
    <mergeCell ref="Y50:AA50"/>
    <mergeCell ref="F42:G42"/>
    <mergeCell ref="F43:G43"/>
    <mergeCell ref="F36:G36"/>
    <mergeCell ref="F37:G37"/>
    <mergeCell ref="F14:L14"/>
    <mergeCell ref="F39:G39"/>
    <mergeCell ref="F40:G40"/>
    <mergeCell ref="F41:G41"/>
    <mergeCell ref="Y38:AA38"/>
    <mergeCell ref="Y43:AA43"/>
    <mergeCell ref="E32:E33"/>
    <mergeCell ref="F35:G35"/>
  </mergeCells>
  <phoneticPr fontId="0" type="noConversion"/>
  <conditionalFormatting sqref="D15:D16 C14:C16">
    <cfRule type="expression" dxfId="6" priority="7" stopIfTrue="1">
      <formula>$T$25&lt;&gt;"Other - User Defined"</formula>
    </cfRule>
  </conditionalFormatting>
  <conditionalFormatting sqref="K8:L9">
    <cfRule type="expression" dxfId="5" priority="5" stopIfTrue="1">
      <formula>$T$27="Altitude (feet)"</formula>
    </cfRule>
  </conditionalFormatting>
  <conditionalFormatting sqref="K10:L11">
    <cfRule type="expression" dxfId="4" priority="4" stopIfTrue="1">
      <formula>$T$27 = "Pressure (psi)"</formula>
    </cfRule>
  </conditionalFormatting>
  <conditionalFormatting sqref="AS21:BC59">
    <cfRule type="cellIs" dxfId="3" priority="1" stopIfTrue="1" operator="between">
      <formula>".999*BQ21"</formula>
      <formula>"1.001*BQ21"</formula>
    </cfRule>
  </conditionalFormatting>
  <dataValidations count="6">
    <dataValidation type="decimal" operator="greaterThan" allowBlank="1" showInputMessage="1" showErrorMessage="1" errorTitle="SUMMARY TABLE RANGE LIMITS!" error="Summary Table Range must be greater than 0." sqref="BL16 BA16">
      <formula1>0</formula1>
    </dataValidation>
    <dataValidation type="decimal" operator="greaterThan" allowBlank="1" showInputMessage="1" showErrorMessage="1" errorTitle="RANGE LIMITS!" error="Range must be greater than 0." sqref="I6">
      <formula1>0</formula1>
    </dataValidation>
    <dataValidation type="decimal" allowBlank="1" showInputMessage="1" showErrorMessage="1" errorTitle="                ALTITUDE WARNING" error="Out of Range!  _x000a_Altitude must be between -500 and 12,000 feet." sqref="M9:N9">
      <formula1>-500</formula1>
      <formula2>12000</formula2>
    </dataValidation>
    <dataValidation type="decimal" operator="greaterThan" allowBlank="1" showInputMessage="1" showErrorMessage="1" errorTitle="NEW RANGE!" error="NEW must be greater than 0." sqref="E9">
      <formula1>0</formula1>
    </dataValidation>
    <dataValidation type="decimal" operator="greaterThan" allowBlank="1" showErrorMessage="1" errorTitle="Pressure Warning" error="The entered pressure must be greater than 0 psi." promptTitle="Pressure Warning" prompt="The entered pressure must be greater than 0 psi." sqref="K9:L9">
      <formula1>0</formula1>
    </dataValidation>
    <dataValidation type="decimal" operator="lessThanOrEqual" allowBlank="1" showInputMessage="1" showErrorMessage="1" errorTitle="Altitude Warning" error="NASA defines someone as an astronaut if they fly over 264,000 ft.  Do you really think you can get your explosives to detonate in space? Try a smaller number." sqref="K11:L11">
      <formula1>264000</formula1>
    </dataValidation>
  </dataValidations>
  <printOptions horizontalCentered="1"/>
  <pageMargins left="0.75" right="0.75" top="1" bottom="1" header="0.5" footer="0.5"/>
  <pageSetup scale="54" fitToHeight="2" pageOrder="overThenDown" orientation="portrait" horizontalDpi="4294967292" verticalDpi="4294967292" r:id="rId1"/>
  <headerFooter alignWithMargins="0">
    <oddHeader xml:space="preserve">&amp;C&amp;"Times New Roman,Bold"&amp;24BLAST EFFECTS COMPUTER - OPEN&amp;14
&amp;"Times New Roman,Italic"&amp;18(Version 1.0)&amp;"Times New Roman,Bold"&amp;14
</oddHeader>
    <oddFooter>&amp;C&amp;"Charcoal,Bold"&amp;10&amp;D 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Fill="0" autoLine="0" autoPict="0">
                <anchor moveWithCells="1">
                  <from>
                    <xdr:col>2</xdr:col>
                    <xdr:colOff>68580</xdr:colOff>
                    <xdr:row>5</xdr:row>
                    <xdr:rowOff>0</xdr:rowOff>
                  </from>
                  <to>
                    <xdr:col>3</xdr:col>
                    <xdr:colOff>533400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Drop Down 6">
              <controlPr defaultSize="0" autoFill="0" autoLine="0" autoPict="0">
                <anchor moveWithCells="1">
                  <from>
                    <xdr:col>4</xdr:col>
                    <xdr:colOff>7620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Drop Down 7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7620</xdr:rowOff>
                  </from>
                  <to>
                    <xdr:col>3</xdr:col>
                    <xdr:colOff>533400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Drop Down 10">
              <controlPr defaultSize="0" autoFill="0" autoLine="0" autoPict="0" macro="[0]!SelectDefaultExplosiveType">
                <anchor moveWithCells="1">
                  <from>
                    <xdr:col>2</xdr:col>
                    <xdr:colOff>38100</xdr:colOff>
                    <xdr:row>8</xdr:row>
                    <xdr:rowOff>7620</xdr:rowOff>
                  </from>
                  <to>
                    <xdr:col>3</xdr:col>
                    <xdr:colOff>502920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Drop Down 17">
              <controlPr defaultSize="0" autoFill="0" autoLine="0" autoPict="0">
                <anchor moveWithCells="1">
                  <from>
                    <xdr:col>9</xdr:col>
                    <xdr:colOff>632460</xdr:colOff>
                    <xdr:row>5</xdr:row>
                    <xdr:rowOff>0</xdr:rowOff>
                  </from>
                  <to>
                    <xdr:col>11</xdr:col>
                    <xdr:colOff>1295400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L161"/>
  <sheetViews>
    <sheetView zoomScaleNormal="100" zoomScaleSheetLayoutView="85" workbookViewId="0">
      <selection activeCell="AS5" sqref="AS5"/>
    </sheetView>
  </sheetViews>
  <sheetFormatPr defaultColWidth="10.88671875" defaultRowHeight="15.6" x14ac:dyDescent="0.3"/>
  <cols>
    <col min="1" max="2" width="1.77734375" style="53" customWidth="1"/>
    <col min="3" max="3" width="22.109375" style="53" customWidth="1"/>
    <col min="4" max="4" width="14.44140625" style="53" customWidth="1"/>
    <col min="5" max="6" width="13.109375" style="53" customWidth="1"/>
    <col min="7" max="7" width="7.44140625" style="53" customWidth="1"/>
    <col min="8" max="8" width="2.21875" style="53" customWidth="1"/>
    <col min="9" max="9" width="22.6640625" style="53" customWidth="1"/>
    <col min="10" max="11" width="9.109375" style="53" customWidth="1"/>
    <col min="12" max="12" width="17.33203125" style="53" customWidth="1"/>
    <col min="13" max="14" width="1.77734375" style="53" customWidth="1"/>
    <col min="15" max="15" width="9.33203125" style="53" customWidth="1"/>
    <col min="16" max="16" width="15.88671875" style="53" customWidth="1"/>
    <col min="17" max="17" width="15.88671875" style="53" hidden="1" customWidth="1"/>
    <col min="18" max="18" width="10.88671875" style="53" customWidth="1"/>
    <col min="19" max="19" width="12.88671875" style="53" customWidth="1"/>
    <col min="20" max="20" width="12.109375" style="53" customWidth="1"/>
    <col min="21" max="21" width="14.44140625" style="53" customWidth="1"/>
    <col min="22" max="22" width="13.109375" style="53" customWidth="1"/>
    <col min="23" max="26" width="14.44140625" style="53" customWidth="1"/>
    <col min="27" max="27" width="13.109375" style="53" customWidth="1"/>
    <col min="28" max="30" width="14.44140625" style="53" customWidth="1"/>
    <col min="31" max="31" width="14.6640625" style="53" customWidth="1"/>
    <col min="32" max="32" width="14.44140625" style="53" customWidth="1"/>
    <col min="33" max="35" width="10.88671875" style="53" customWidth="1"/>
    <col min="36" max="37" width="13.6640625" style="53" customWidth="1"/>
    <col min="38" max="38" width="13.6640625" style="55" customWidth="1"/>
    <col min="39" max="16384" width="10.88671875" style="53"/>
  </cols>
  <sheetData>
    <row r="1" spans="2:38" ht="15" customHeight="1" thickBot="1" x14ac:dyDescent="0.35">
      <c r="C1" s="472" t="s">
        <v>622</v>
      </c>
    </row>
    <row r="2" spans="2:38" ht="31.2" thickTop="1" thickBot="1" x14ac:dyDescent="0.55000000000000004">
      <c r="B2" s="58"/>
      <c r="C2" s="605" t="s">
        <v>46</v>
      </c>
      <c r="D2" s="605"/>
      <c r="E2" s="643"/>
      <c r="F2" s="643"/>
      <c r="G2" s="643"/>
      <c r="H2" s="643"/>
      <c r="I2" s="643"/>
      <c r="J2" s="643"/>
      <c r="K2" s="643"/>
      <c r="L2" s="643"/>
      <c r="M2" s="59"/>
      <c r="N2" s="60"/>
      <c r="O2" s="60"/>
      <c r="P2" s="523" t="s">
        <v>81</v>
      </c>
      <c r="Q2" s="523"/>
      <c r="R2" s="523"/>
      <c r="S2" s="523"/>
      <c r="T2" s="523"/>
      <c r="U2" s="523"/>
      <c r="V2" s="523"/>
      <c r="W2" s="523"/>
      <c r="X2" s="523"/>
      <c r="Y2" s="523"/>
      <c r="Z2" s="523"/>
      <c r="AC2" s="523" t="s">
        <v>84</v>
      </c>
      <c r="AD2" s="523"/>
      <c r="AE2" s="523"/>
      <c r="AF2" s="523"/>
      <c r="AG2" s="523"/>
      <c r="AH2" s="523"/>
      <c r="AI2" s="523"/>
      <c r="AJ2" s="523"/>
      <c r="AK2" s="523"/>
      <c r="AL2" s="53"/>
    </row>
    <row r="3" spans="2:38" ht="19.5" customHeight="1" thickBot="1" x14ac:dyDescent="0.4">
      <c r="B3" s="62"/>
      <c r="C3" s="611" t="s">
        <v>545</v>
      </c>
      <c r="D3" s="611"/>
      <c r="E3" s="611"/>
      <c r="F3" s="611"/>
      <c r="G3" s="611"/>
      <c r="H3" s="611"/>
      <c r="I3" s="611"/>
      <c r="J3" s="611"/>
      <c r="K3" s="611"/>
      <c r="L3" s="611"/>
      <c r="M3" s="63"/>
      <c r="N3" s="64"/>
      <c r="O3" s="64"/>
      <c r="S3" s="538" t="s">
        <v>80</v>
      </c>
      <c r="T3" s="539"/>
      <c r="U3" s="535" t="str">
        <f>C6</f>
        <v>Open Storage/STANDARD</v>
      </c>
      <c r="V3" s="536"/>
      <c r="W3" s="537"/>
      <c r="AA3" s="106"/>
      <c r="AE3" s="538" t="s">
        <v>80</v>
      </c>
      <c r="AF3" s="539"/>
      <c r="AG3" s="535" t="str">
        <f>U3</f>
        <v>Open Storage/STANDARD</v>
      </c>
      <c r="AH3" s="536"/>
      <c r="AI3" s="537"/>
      <c r="AL3" s="53"/>
    </row>
    <row r="4" spans="2:38" ht="23.4" thickBot="1" x14ac:dyDescent="0.45">
      <c r="B4" s="62"/>
      <c r="C4" s="68"/>
      <c r="D4" s="68"/>
      <c r="E4" s="600"/>
      <c r="F4" s="600"/>
      <c r="G4" s="69"/>
      <c r="H4" s="69"/>
      <c r="I4" s="70"/>
      <c r="J4" s="69"/>
      <c r="K4" s="69"/>
      <c r="L4" s="70"/>
      <c r="M4" s="71"/>
      <c r="N4" s="72"/>
      <c r="O4" s="72"/>
      <c r="P4" s="107"/>
      <c r="Q4" s="108"/>
      <c r="R4" s="109"/>
      <c r="S4" s="530" t="s">
        <v>226</v>
      </c>
      <c r="T4" s="663"/>
      <c r="U4" s="535" t="str">
        <f>C9</f>
        <v>Bulk/Light Cased:  STANDARD</v>
      </c>
      <c r="V4" s="664"/>
      <c r="W4" s="665"/>
      <c r="X4" s="57"/>
      <c r="Y4" s="72"/>
      <c r="Z4" s="57"/>
      <c r="AC4" s="110"/>
      <c r="AD4" s="110"/>
      <c r="AE4" s="530" t="s">
        <v>226</v>
      </c>
      <c r="AF4" s="663"/>
      <c r="AG4" s="535" t="str">
        <f>U4</f>
        <v>Bulk/Light Cased:  STANDARD</v>
      </c>
      <c r="AH4" s="664"/>
      <c r="AI4" s="665"/>
      <c r="AJ4" s="110"/>
      <c r="AK4" s="110"/>
      <c r="AL4" s="53"/>
    </row>
    <row r="5" spans="2:38" ht="18.600000000000001" thickBot="1" x14ac:dyDescent="0.4">
      <c r="B5" s="62"/>
      <c r="C5" s="315" t="s">
        <v>544</v>
      </c>
      <c r="D5" s="315"/>
      <c r="F5" s="315"/>
      <c r="J5" s="315"/>
      <c r="K5" s="315"/>
      <c r="L5" s="72"/>
      <c r="M5" s="71"/>
      <c r="N5" s="72"/>
      <c r="O5" s="72"/>
      <c r="P5" s="106"/>
      <c r="Q5" s="112"/>
      <c r="R5" s="56"/>
      <c r="S5" s="530" t="str">
        <f>'ENGLISH UNITS '!AW8</f>
        <v/>
      </c>
      <c r="T5" s="663"/>
      <c r="U5" s="524" t="str">
        <f>'ENGLISH UNITS '!AY8</f>
        <v/>
      </c>
      <c r="V5" s="525"/>
      <c r="W5" s="526"/>
      <c r="X5" s="57"/>
      <c r="Z5" s="316"/>
      <c r="AA5" s="106"/>
      <c r="AD5" s="109"/>
      <c r="AE5" s="530" t="str">
        <f>S5</f>
        <v/>
      </c>
      <c r="AF5" s="663"/>
      <c r="AG5" s="524" t="str">
        <f>U5</f>
        <v/>
      </c>
      <c r="AH5" s="525" t="str">
        <f>IF($R$26=1, $E$9,"")</f>
        <v/>
      </c>
      <c r="AI5" s="526"/>
      <c r="AJ5" s="57"/>
      <c r="AL5" s="53"/>
    </row>
    <row r="6" spans="2:38" s="90" customFormat="1" ht="18.600000000000001" thickBot="1" x14ac:dyDescent="0.4">
      <c r="B6" s="87"/>
      <c r="C6" s="651" t="str">
        <f>'ENGLISH UNITS '!$T$23</f>
        <v>Open Storage/STANDARD</v>
      </c>
      <c r="D6" s="651"/>
      <c r="E6" s="651"/>
      <c r="F6" s="88"/>
      <c r="I6" s="83" t="s">
        <v>543</v>
      </c>
      <c r="J6" s="317">
        <f>range/3.28084</f>
        <v>30.47999902464003</v>
      </c>
      <c r="K6" s="317"/>
      <c r="L6" s="88"/>
      <c r="M6" s="89"/>
      <c r="N6" s="88"/>
      <c r="O6" s="88"/>
      <c r="P6" s="106"/>
      <c r="Q6" s="112"/>
      <c r="R6" s="56"/>
      <c r="S6" s="533" t="s">
        <v>400</v>
      </c>
      <c r="T6" s="534"/>
      <c r="U6" s="524">
        <f>E17</f>
        <v>4535.9290943563974</v>
      </c>
      <c r="V6" s="525"/>
      <c r="W6" s="526"/>
      <c r="X6" s="57"/>
      <c r="Z6" s="302"/>
      <c r="AA6" s="106"/>
      <c r="AB6" s="53"/>
      <c r="AC6" s="53"/>
      <c r="AD6" s="56"/>
      <c r="AE6" s="533" t="s">
        <v>400</v>
      </c>
      <c r="AF6" s="534"/>
      <c r="AG6" s="524">
        <f>U6</f>
        <v>4535.9290943563974</v>
      </c>
      <c r="AH6" s="525"/>
      <c r="AI6" s="526"/>
      <c r="AJ6" s="57"/>
      <c r="AK6" s="53"/>
      <c r="AL6" s="53"/>
    </row>
    <row r="7" spans="2:38" ht="16.5" customHeight="1" thickBot="1" x14ac:dyDescent="0.4">
      <c r="B7" s="62"/>
      <c r="F7" s="315"/>
      <c r="G7" s="315"/>
      <c r="H7" s="315"/>
      <c r="J7" s="88"/>
      <c r="K7" s="88"/>
      <c r="L7" s="72"/>
      <c r="M7" s="71"/>
      <c r="N7" s="72"/>
      <c r="O7" s="72"/>
      <c r="P7" s="106"/>
      <c r="Q7" s="55"/>
      <c r="R7" s="56"/>
      <c r="S7" s="533" t="s">
        <v>590</v>
      </c>
      <c r="T7" s="534"/>
      <c r="U7" s="524" t="str">
        <f>C12</f>
        <v>TNT</v>
      </c>
      <c r="V7" s="525"/>
      <c r="W7" s="526"/>
      <c r="X7" s="114"/>
      <c r="Y7" s="114"/>
      <c r="Z7" s="114"/>
      <c r="AA7" s="106"/>
      <c r="AD7" s="56"/>
      <c r="AE7" s="533" t="s">
        <v>590</v>
      </c>
      <c r="AF7" s="534"/>
      <c r="AG7" s="524" t="str">
        <f>C12</f>
        <v>TNT</v>
      </c>
      <c r="AH7" s="525"/>
      <c r="AI7" s="526"/>
      <c r="AJ7" s="57"/>
      <c r="AL7" s="53"/>
    </row>
    <row r="8" spans="2:38" ht="17.399999999999999" thickTop="1" thickBot="1" x14ac:dyDescent="0.4">
      <c r="B8" s="62"/>
      <c r="C8" s="315" t="s">
        <v>224</v>
      </c>
      <c r="D8" s="315"/>
      <c r="E8" s="495"/>
      <c r="F8" s="495"/>
      <c r="G8" s="654" t="s">
        <v>59</v>
      </c>
      <c r="H8" s="655"/>
      <c r="I8" s="655"/>
      <c r="J8" s="655"/>
      <c r="K8" s="655"/>
      <c r="L8" s="656"/>
      <c r="M8" s="71"/>
      <c r="N8" s="72"/>
      <c r="O8" s="72"/>
      <c r="P8" s="106"/>
      <c r="Q8" s="55"/>
      <c r="R8" s="56"/>
      <c r="S8" s="527" t="s">
        <v>82</v>
      </c>
      <c r="T8" s="528"/>
      <c r="U8" s="528"/>
      <c r="V8" s="529"/>
      <c r="W8" s="118">
        <f>E19</f>
        <v>1</v>
      </c>
      <c r="X8" s="114"/>
      <c r="Y8" s="114"/>
      <c r="Z8" s="114"/>
      <c r="AA8" s="106"/>
      <c r="AD8" s="56"/>
      <c r="AE8" s="527" t="s">
        <v>82</v>
      </c>
      <c r="AF8" s="528"/>
      <c r="AG8" s="528"/>
      <c r="AH8" s="529"/>
      <c r="AI8" s="118">
        <f>W8</f>
        <v>1</v>
      </c>
      <c r="AJ8" s="114"/>
      <c r="AL8" s="53"/>
    </row>
    <row r="9" spans="2:38" ht="18.600000000000001" thickBot="1" x14ac:dyDescent="0.4">
      <c r="B9" s="62"/>
      <c r="C9" s="651" t="str">
        <f>'ENGLISH UNITS '!$T$24</f>
        <v>Bulk/Light Cased:  STANDARD</v>
      </c>
      <c r="D9" s="651"/>
      <c r="E9" s="651"/>
      <c r="G9" s="644" t="str">
        <f>'ENGLISH UNITS '!F14</f>
        <v/>
      </c>
      <c r="H9" s="645"/>
      <c r="I9" s="645"/>
      <c r="J9" s="645"/>
      <c r="K9" s="645"/>
      <c r="L9" s="646"/>
      <c r="M9" s="71"/>
      <c r="N9" s="72"/>
      <c r="O9" s="72"/>
      <c r="P9" s="106"/>
      <c r="Q9" s="55"/>
      <c r="R9" s="56"/>
      <c r="S9" s="530" t="s">
        <v>83</v>
      </c>
      <c r="T9" s="531"/>
      <c r="U9" s="531"/>
      <c r="V9" s="532"/>
      <c r="W9" s="118">
        <f>E20</f>
        <v>1</v>
      </c>
      <c r="X9" s="114"/>
      <c r="Y9" s="114"/>
      <c r="Z9" s="114"/>
      <c r="AA9" s="106"/>
      <c r="AD9" s="56"/>
      <c r="AE9" s="530" t="s">
        <v>83</v>
      </c>
      <c r="AF9" s="531"/>
      <c r="AG9" s="531"/>
      <c r="AH9" s="532"/>
      <c r="AI9" s="118">
        <f>W9</f>
        <v>1</v>
      </c>
      <c r="AJ9" s="114"/>
      <c r="AL9" s="53"/>
    </row>
    <row r="10" spans="2:38" ht="16.8" thickBot="1" x14ac:dyDescent="0.4">
      <c r="B10" s="62"/>
      <c r="C10" s="111"/>
      <c r="D10" s="111"/>
      <c r="E10" s="72"/>
      <c r="F10" s="72"/>
      <c r="G10" s="647" t="str">
        <f>'ENGLISH UNITS '!$F$15</f>
        <v/>
      </c>
      <c r="H10" s="648"/>
      <c r="I10" s="648"/>
      <c r="J10" s="648"/>
      <c r="K10" s="648"/>
      <c r="L10" s="649"/>
      <c r="M10" s="71"/>
      <c r="N10" s="72"/>
      <c r="O10" s="72"/>
      <c r="P10" s="106"/>
      <c r="Q10" s="55"/>
      <c r="R10" s="56"/>
      <c r="S10" s="301"/>
      <c r="T10" s="301"/>
      <c r="U10" s="301"/>
      <c r="V10" s="301"/>
      <c r="W10" s="300"/>
      <c r="X10" s="114"/>
      <c r="Y10" s="114"/>
      <c r="Z10" s="114"/>
      <c r="AA10" s="106"/>
      <c r="AD10" s="56"/>
      <c r="AE10" s="130" t="s">
        <v>94</v>
      </c>
      <c r="AF10" s="131">
        <f>F28</f>
        <v>0</v>
      </c>
      <c r="AG10" s="527" t="s">
        <v>454</v>
      </c>
      <c r="AH10" s="529"/>
      <c r="AI10" s="132">
        <f>J17</f>
        <v>101.32509904</v>
      </c>
      <c r="AJ10" s="114"/>
      <c r="AL10" s="53"/>
    </row>
    <row r="11" spans="2:38" ht="18.600000000000001" thickBot="1" x14ac:dyDescent="0.4">
      <c r="B11" s="62"/>
      <c r="C11" s="315" t="s">
        <v>542</v>
      </c>
      <c r="D11" s="315"/>
      <c r="G11" s="657" t="str">
        <f>'ENGLISH UNITS '!F16</f>
        <v/>
      </c>
      <c r="H11" s="658"/>
      <c r="I11" s="658"/>
      <c r="J11" s="658"/>
      <c r="K11" s="658"/>
      <c r="L11" s="659"/>
      <c r="M11" s="71"/>
      <c r="N11" s="72"/>
      <c r="O11" s="72"/>
      <c r="P11" s="106"/>
      <c r="Q11" s="55"/>
      <c r="R11" s="56"/>
      <c r="S11" s="629" t="s">
        <v>564</v>
      </c>
      <c r="T11" s="629"/>
      <c r="U11" s="629"/>
      <c r="V11" s="515"/>
      <c r="W11" s="318">
        <f>'ENGLISH UNITS '!BA16/3.28084</f>
        <v>30.47999902464003</v>
      </c>
      <c r="X11" s="114"/>
      <c r="Y11" s="114"/>
      <c r="Z11" s="114"/>
      <c r="AA11" s="106"/>
      <c r="AE11" s="56"/>
      <c r="AF11" s="640" t="s">
        <v>32</v>
      </c>
      <c r="AG11" s="641"/>
      <c r="AH11" s="133">
        <f>J18</f>
        <v>15</v>
      </c>
      <c r="AI11" s="134"/>
      <c r="AJ11" s="72"/>
      <c r="AK11" s="72"/>
      <c r="AL11" s="311"/>
    </row>
    <row r="12" spans="2:38" ht="18.75" customHeight="1" thickBot="1" x14ac:dyDescent="0.4">
      <c r="B12" s="62"/>
      <c r="C12" s="653" t="str">
        <f>'ENGLISH UNITS '!D23</f>
        <v>TNT</v>
      </c>
      <c r="D12" s="653"/>
      <c r="E12" s="653"/>
      <c r="F12" s="319"/>
      <c r="G12" s="660"/>
      <c r="H12" s="661"/>
      <c r="I12" s="661"/>
      <c r="J12" s="661"/>
      <c r="K12" s="661"/>
      <c r="L12" s="662"/>
      <c r="M12" s="71"/>
      <c r="N12" s="72"/>
      <c r="O12" s="72"/>
      <c r="Q12" s="55"/>
      <c r="R12" s="56"/>
      <c r="S12" s="56"/>
      <c r="T12" s="56"/>
      <c r="U12" s="56"/>
      <c r="V12" s="56"/>
      <c r="W12" s="56"/>
      <c r="X12" s="57"/>
      <c r="Y12" s="57"/>
      <c r="Z12" s="57"/>
      <c r="AB12" s="55"/>
      <c r="AC12" s="56"/>
      <c r="AD12" s="56"/>
      <c r="AE12" s="56"/>
      <c r="AF12" s="652"/>
      <c r="AG12" s="652"/>
      <c r="AH12" s="320"/>
      <c r="AI12" s="57"/>
      <c r="AJ12" s="57"/>
      <c r="AK12" s="57"/>
      <c r="AL12" s="53"/>
    </row>
    <row r="13" spans="2:38" ht="16.8" thickTop="1" thickBot="1" x14ac:dyDescent="0.35">
      <c r="B13" s="62"/>
      <c r="J13" s="135"/>
      <c r="K13" s="135"/>
      <c r="L13" s="121"/>
      <c r="M13" s="120"/>
      <c r="P13" s="138" t="s">
        <v>4</v>
      </c>
      <c r="Q13" s="139" t="s">
        <v>4</v>
      </c>
      <c r="R13" s="138" t="s">
        <v>78</v>
      </c>
      <c r="S13" s="140" t="s">
        <v>8</v>
      </c>
      <c r="T13" s="140" t="s">
        <v>11</v>
      </c>
      <c r="U13" s="140" t="s">
        <v>11</v>
      </c>
      <c r="V13" s="140" t="s">
        <v>14</v>
      </c>
      <c r="W13" s="140" t="s">
        <v>16</v>
      </c>
      <c r="X13" s="140" t="s">
        <v>16</v>
      </c>
      <c r="Y13" s="140" t="s">
        <v>17</v>
      </c>
      <c r="Z13" s="140" t="s">
        <v>17</v>
      </c>
      <c r="AB13" s="138" t="s">
        <v>4</v>
      </c>
      <c r="AC13" s="138" t="s">
        <v>78</v>
      </c>
      <c r="AD13" s="138" t="s">
        <v>4</v>
      </c>
      <c r="AE13" s="140" t="s">
        <v>8</v>
      </c>
      <c r="AF13" s="140" t="s">
        <v>11</v>
      </c>
      <c r="AG13" s="140" t="s">
        <v>11</v>
      </c>
      <c r="AH13" s="140" t="s">
        <v>14</v>
      </c>
      <c r="AI13" s="140" t="s">
        <v>16</v>
      </c>
      <c r="AJ13" s="140" t="s">
        <v>16</v>
      </c>
      <c r="AK13" s="140" t="s">
        <v>17</v>
      </c>
      <c r="AL13" s="140" t="s">
        <v>17</v>
      </c>
    </row>
    <row r="14" spans="2:38" ht="30.6" thickTop="1" x14ac:dyDescent="0.5">
      <c r="B14" s="136"/>
      <c r="C14" s="607" t="s">
        <v>3</v>
      </c>
      <c r="D14" s="607"/>
      <c r="E14" s="608"/>
      <c r="F14" s="608"/>
      <c r="G14" s="608"/>
      <c r="H14" s="608"/>
      <c r="I14" s="608"/>
      <c r="J14" s="608"/>
      <c r="K14" s="608"/>
      <c r="L14" s="608"/>
      <c r="M14" s="137"/>
      <c r="N14" s="60"/>
      <c r="O14" s="60"/>
      <c r="P14" s="142"/>
      <c r="Q14" s="143"/>
      <c r="R14" s="142" t="s">
        <v>79</v>
      </c>
      <c r="S14" s="144" t="s">
        <v>9</v>
      </c>
      <c r="T14" s="144" t="s">
        <v>5</v>
      </c>
      <c r="U14" s="144" t="s">
        <v>6</v>
      </c>
      <c r="V14" s="144" t="s">
        <v>15</v>
      </c>
      <c r="W14" s="144" t="s">
        <v>5</v>
      </c>
      <c r="X14" s="144" t="s">
        <v>6</v>
      </c>
      <c r="Y14" s="144" t="s">
        <v>5</v>
      </c>
      <c r="Z14" s="144" t="s">
        <v>6</v>
      </c>
      <c r="AB14" s="145" t="s">
        <v>86</v>
      </c>
      <c r="AC14" s="142" t="s">
        <v>79</v>
      </c>
      <c r="AD14" s="146" t="s">
        <v>103</v>
      </c>
      <c r="AE14" s="144" t="s">
        <v>9</v>
      </c>
      <c r="AF14" s="144" t="s">
        <v>5</v>
      </c>
      <c r="AG14" s="144" t="s">
        <v>6</v>
      </c>
      <c r="AH14" s="144" t="s">
        <v>15</v>
      </c>
      <c r="AI14" s="144" t="s">
        <v>5</v>
      </c>
      <c r="AJ14" s="144" t="s">
        <v>6</v>
      </c>
      <c r="AK14" s="144" t="s">
        <v>5</v>
      </c>
      <c r="AL14" s="144" t="s">
        <v>6</v>
      </c>
    </row>
    <row r="15" spans="2:38" ht="18.600000000000001" thickBot="1" x14ac:dyDescent="0.35">
      <c r="B15" s="62"/>
      <c r="C15" s="54"/>
      <c r="D15" s="54"/>
      <c r="L15" s="54"/>
      <c r="M15" s="141"/>
      <c r="N15" s="54"/>
      <c r="O15" s="54"/>
      <c r="P15" s="142" t="s">
        <v>609</v>
      </c>
      <c r="Q15" s="143" t="s">
        <v>524</v>
      </c>
      <c r="R15" s="142" t="s">
        <v>104</v>
      </c>
      <c r="S15" s="144" t="s">
        <v>10</v>
      </c>
      <c r="T15" s="144" t="s">
        <v>18</v>
      </c>
      <c r="U15" s="144" t="s">
        <v>525</v>
      </c>
      <c r="V15" s="144" t="s">
        <v>10</v>
      </c>
      <c r="W15" s="144" t="s">
        <v>18</v>
      </c>
      <c r="X15" s="144" t="s">
        <v>525</v>
      </c>
      <c r="Y15" s="144" t="s">
        <v>18</v>
      </c>
      <c r="Z15" s="144" t="s">
        <v>525</v>
      </c>
      <c r="AB15" s="142" t="s">
        <v>609</v>
      </c>
      <c r="AC15" s="142" t="s">
        <v>104</v>
      </c>
      <c r="AD15" s="142" t="s">
        <v>609</v>
      </c>
      <c r="AE15" s="144" t="s">
        <v>10</v>
      </c>
      <c r="AF15" s="144" t="s">
        <v>18</v>
      </c>
      <c r="AG15" s="144" t="s">
        <v>525</v>
      </c>
      <c r="AH15" s="144" t="s">
        <v>10</v>
      </c>
      <c r="AI15" s="144" t="s">
        <v>18</v>
      </c>
      <c r="AJ15" s="144" t="s">
        <v>525</v>
      </c>
      <c r="AK15" s="144" t="s">
        <v>18</v>
      </c>
      <c r="AL15" s="144" t="s">
        <v>525</v>
      </c>
    </row>
    <row r="16" spans="2:38" ht="18" thickBot="1" x14ac:dyDescent="0.35">
      <c r="B16" s="62"/>
      <c r="C16" s="609" t="s">
        <v>41</v>
      </c>
      <c r="D16" s="609"/>
      <c r="E16" s="609"/>
      <c r="F16" s="147"/>
      <c r="G16" s="148"/>
      <c r="H16" s="148"/>
      <c r="I16" s="610" t="s">
        <v>19</v>
      </c>
      <c r="J16" s="610"/>
      <c r="K16" s="610"/>
      <c r="L16" s="610"/>
      <c r="M16" s="149"/>
      <c r="N16" s="150"/>
      <c r="O16" s="150"/>
      <c r="P16" s="338" t="e">
        <f>#REF!</f>
        <v>#REF!</v>
      </c>
      <c r="Q16" s="338" t="e">
        <f>P16</f>
        <v>#REF!</v>
      </c>
      <c r="R16" s="339">
        <f>$E$35/$E$23^(1/3)</f>
        <v>20.749466379575118</v>
      </c>
      <c r="S16" s="340">
        <f>IF($E$35/$E$29^(1/3)&lt;0.2,"out of range",IF($E$35/$E$29^(1/3)&lt;4.5,$R$59^(1/3)*$AJ$53,IF($E$35/$E$29^(1/3)&lt;=100,$R$59^(1/3)*$AJ$54,IF($E$35/$E$29^(1/3)&lt;=500,$R$59^(1/3)*$AJ$55,"out of range"))))</f>
        <v>0</v>
      </c>
      <c r="T16" s="340">
        <f>IF($E$35/$E$29^(1/3)&lt;0.5,"out of range",IF($E$35/$E$29^(1/3)&lt;7.25,$AJ$61,IF($E$35/$E$29^(1/3)&lt;60,$AJ$62,IF($E$35/$E$29^(1/3)&lt;=500,$AJ$63,"out of range"))))</f>
        <v>0</v>
      </c>
      <c r="U16" s="340" t="e">
        <f>IF($E$35/$E$30^(1/3)&lt;0.5,"out of range",IF($E$35/$E$30^(1/3)&lt;2.41,$R$63^(1/3)*$AJ$88,IF($E$35/$E$30^(1/3)&lt;6,$R$63^(1/3)*$AJ$89,IF($E$35/$E$30^(1/3)&lt;85,$R$63^(1/3)*$AJ$90,IF($E$35/$E$30^(1/3)&lt;=1000,$R$63^(1/3)*$AJ$91,"out of range")))))</f>
        <v>#DIV/0!</v>
      </c>
      <c r="V16" s="340" t="e">
        <f>IF($E$35/$E$30^(1/3)&lt;0.5,"out of range",IF($E$35/$E$30^(1/3)&lt;2.5,$R$63^(1/3)*$AJ$77,IF($E$35/$E$30^(1/3)&lt;7,$R$63^(1/3)*$AJ$78,IF($E$35/$E$30^(1/3)&lt;=100,$R$63^(1/3)*$AJ$79,IF($E$35/$E$30^(1/3)&lt;=500,$R$63^(1/3)*$AJ$80,"out of range")))))</f>
        <v>#DIV/0!</v>
      </c>
      <c r="W16" s="340">
        <f>IF($E$35/$E$29^(1/3)&lt;0.3,"out of range",IF($E$35/$E$29^(1/3)&lt;4,$AJ$69,IF($E$35/$E$29^(1/3)&lt;=100,$AJ$70,IF($E$35/$E$29^(1/3)&lt;=500,$AJ$71,"out of range"))))</f>
        <v>0</v>
      </c>
      <c r="X16" s="340" t="e">
        <f>IF($E$35/$E$30^(1/3)&lt;0.2,"out of range",IF($E$35/$E$30^(1/3)&lt;=100,$R$63^(1/3)*$AJ$97,"out of range"))</f>
        <v>#DIV/0!</v>
      </c>
      <c r="Y16" s="340" t="str">
        <f>IF($E$35/$E$29^(1/3)&lt;0.5,"out of range",IF($E$35/$E$29^(1/3)&lt;=100,$AJ$103,"out of range"))</f>
        <v>out of range</v>
      </c>
      <c r="Z16" s="340" t="e">
        <f>IF($E$35/$E$30^(1/3)&lt;0.5,"out of range",IF($E$35/$E$30^(1/3)&lt;6,$R$63^(1/3)*$AJ$110,IF($E$35/$E$30^(1/3)&lt;=100,$R$63^(1/3)*$AJ$111,"out of range")))</f>
        <v>#DIV/0!</v>
      </c>
      <c r="AB16" s="338">
        <f>$F$35</f>
        <v>343.47543692301787</v>
      </c>
      <c r="AC16" s="339">
        <f>$F$37</f>
        <v>0</v>
      </c>
      <c r="AD16" s="338">
        <f>IF(ISERROR($E$35),0,$E$35)</f>
        <v>343.47543692301787</v>
      </c>
      <c r="AE16" s="340">
        <f>IF(ISERROR($F$39),0,$F$39)</f>
        <v>0</v>
      </c>
      <c r="AF16" s="340">
        <f>IF(ISERROR($F$41),0,$F$41)</f>
        <v>0</v>
      </c>
      <c r="AG16" s="340">
        <f>IF(ISERROR($F$49),0,$F$49)</f>
        <v>276.63518282375657</v>
      </c>
      <c r="AH16" s="340">
        <f>IF(ISERROR($F$46),0,$F$46)</f>
        <v>6667.5074880347493</v>
      </c>
      <c r="AI16" s="340">
        <f>IF(ISERROR($F$44),0,$F$44)</f>
        <v>0</v>
      </c>
      <c r="AJ16" s="340">
        <f>IF(ISERROR($F$52),0,$F$52)</f>
        <v>1279.6920867909589</v>
      </c>
      <c r="AK16" s="340">
        <f>IF(ISERROR($I$55),0,$I$55)</f>
        <v>0</v>
      </c>
      <c r="AL16" s="340" t="str">
        <f>IF(ISERROR($I$42),0,$I$42)</f>
        <v>152.5 cm x 107 cm x 0.56 cm</v>
      </c>
    </row>
    <row r="17" spans="1:38" x14ac:dyDescent="0.3">
      <c r="B17" s="62"/>
      <c r="C17" s="54" t="s">
        <v>400</v>
      </c>
      <c r="D17" s="54"/>
      <c r="E17" s="266">
        <f>'ENGLISH UNITS '!E21/2.20462</f>
        <v>4535.9290943563974</v>
      </c>
      <c r="F17" s="152"/>
      <c r="G17" s="153"/>
      <c r="H17" s="153"/>
      <c r="I17" s="54" t="s">
        <v>454</v>
      </c>
      <c r="J17" s="109">
        <f>'ENGLISH UNITS '!J21*6.89474</f>
        <v>101.32509904</v>
      </c>
      <c r="K17" s="109"/>
      <c r="L17" s="54"/>
      <c r="M17" s="141"/>
      <c r="N17" s="54"/>
      <c r="O17" s="54"/>
      <c r="P17" s="159">
        <f>'ENGLISH UNITS '!AS22/3.28084</f>
        <v>15.239999512320015</v>
      </c>
      <c r="Q17" s="160">
        <v>50</v>
      </c>
      <c r="R17" s="161">
        <f>'ENGLISH UNITS '!AU22/2.5208</f>
        <v>0.9206578930523599</v>
      </c>
      <c r="S17" s="162">
        <f>'ENGLISH UNITS '!AV22</f>
        <v>6.6680454587613731</v>
      </c>
      <c r="T17" s="162">
        <f>IF('ENGLISH UNITS '!AW22="Out of Range","Out of Range",'ENGLISH UNITS '!AW22*6.89474)</f>
        <v>1607.8638085082412</v>
      </c>
      <c r="U17" s="162">
        <f>IF('ENGLISH UNITS '!AX22="out of range","out of range",'ENGLISH UNITS '!AX22*6.89474)</f>
        <v>3790.7558308218827</v>
      </c>
      <c r="V17" s="162">
        <f>'ENGLISH UNITS '!AY22</f>
        <v>21.597204218500178</v>
      </c>
      <c r="W17" s="162">
        <f>IF('ENGLISH UNITS '!AZ22="out of range","out of range",'ENGLISH UNITS '!AZ22*6.89474)</f>
        <v>10093.492620694269</v>
      </c>
      <c r="X17" s="162">
        <f>IF('ENGLISH UNITS '!BA22="out of range","out of range",'ENGLISH UNITS '!BA22*6.89474)</f>
        <v>16382.099209277274</v>
      </c>
      <c r="Y17" s="162">
        <f>IF('ENGLISH UNITS '!BB22="out of range","out of range",'ENGLISH UNITS '!BB22*6.89474)</f>
        <v>2911.7979926526154</v>
      </c>
      <c r="Z17" s="162">
        <f>IF('ENGLISH UNITS '!BC22="out of range","out of range",'ENGLISH UNITS '!BC22*6.89474)</f>
        <v>3717.4276328070237</v>
      </c>
      <c r="AB17" s="159">
        <f>'ENGLISH UNITS '!BE22/3.28084</f>
        <v>15.239999512320015</v>
      </c>
      <c r="AC17" s="161">
        <f>'ENGLISH UNITS '!BF22/2.5208</f>
        <v>0.9206578930523599</v>
      </c>
      <c r="AD17" s="159">
        <f>'ENGLISH UNITS '!BG22/3.28084</f>
        <v>15.239999512320015</v>
      </c>
      <c r="AE17" s="159">
        <f>'ENGLISH UNITS '!BH22</f>
        <v>6.6680454587613731</v>
      </c>
      <c r="AF17" s="162">
        <f>IF('ENGLISH UNITS '!BI22="out of range","out of range",'ENGLISH UNITS '!BI22*6.89474)</f>
        <v>1607.8638085082412</v>
      </c>
      <c r="AG17" s="162">
        <f>IF('ENGLISH UNITS '!BJ22="out of range","out of range",'ENGLISH UNITS '!BJ22*6.89474)</f>
        <v>3790.7558308218827</v>
      </c>
      <c r="AH17" s="162">
        <f>'ENGLISH UNITS '!BK22</f>
        <v>21.597204218500178</v>
      </c>
      <c r="AI17" s="162">
        <f>IF('ENGLISH UNITS '!BL22="out of range","out of range",'ENGLISH UNITS '!BL22*6.89474)</f>
        <v>10093.492620694269</v>
      </c>
      <c r="AJ17" s="162">
        <f>IF('ENGLISH UNITS '!BM22="out of range","out of range",'ENGLISH UNITS '!BM22*6.89474)</f>
        <v>16382.099209277274</v>
      </c>
      <c r="AK17" s="162">
        <f>IF('ENGLISH UNITS '!BN22="out of range","out of range",'ENGLISH UNITS '!BN22*6.89474)</f>
        <v>2911.7979926526154</v>
      </c>
      <c r="AL17" s="162">
        <f>IF('ENGLISH UNITS '!BO22="out of range","out of range",'ENGLISH UNITS '!BO22*6.89474)</f>
        <v>3717.4276328070237</v>
      </c>
    </row>
    <row r="18" spans="1:38" x14ac:dyDescent="0.3">
      <c r="B18" s="62"/>
      <c r="C18" s="54" t="s">
        <v>401</v>
      </c>
      <c r="D18" s="54"/>
      <c r="E18" s="266">
        <f>'ENGLISH UNITS '!E22/2.20462</f>
        <v>0.45359290943563974</v>
      </c>
      <c r="F18" s="156"/>
      <c r="G18" s="153"/>
      <c r="H18" s="153"/>
      <c r="I18" s="54" t="s">
        <v>32</v>
      </c>
      <c r="J18" s="180">
        <f>('ENGLISH UNITS '!J22-32)/1.8</f>
        <v>15</v>
      </c>
      <c r="K18" s="180"/>
      <c r="L18" s="54"/>
      <c r="M18" s="141"/>
      <c r="N18" s="54"/>
      <c r="O18" s="54"/>
      <c r="P18" s="166">
        <f>'ENGLISH UNITS '!AS23/3.28084</f>
        <v>18.287999414784018</v>
      </c>
      <c r="Q18" s="167">
        <v>50</v>
      </c>
      <c r="R18" s="168">
        <f>'ENGLISH UNITS '!AU23/2.5208</f>
        <v>1.1047894716628319</v>
      </c>
      <c r="S18" s="169">
        <f>'ENGLISH UNITS '!AV23</f>
        <v>9.2689069781262052</v>
      </c>
      <c r="T18" s="169">
        <f>IF('ENGLISH UNITS '!AW23="Out of Range","Out of Range",'ENGLISH UNITS '!AW23*6.89474)</f>
        <v>1094.1173208489627</v>
      </c>
      <c r="U18" s="169">
        <f>IF('ENGLISH UNITS '!AX23="out of range","out of range",'ENGLISH UNITS '!AX23*6.89474)</f>
        <v>3744.1172384734436</v>
      </c>
      <c r="V18" s="169">
        <f>'ENGLISH UNITS '!AY23</f>
        <v>33.98808707998468</v>
      </c>
      <c r="W18" s="169">
        <f>IF('ENGLISH UNITS '!AZ23="out of range","out of range",'ENGLISH UNITS '!AZ23*6.89474)</f>
        <v>6181.9078844548931</v>
      </c>
      <c r="X18" s="169">
        <f>IF('ENGLISH UNITS '!BA23="out of range","out of range",'ENGLISH UNITS '!BA23*6.89474)</f>
        <v>12819.676107642888</v>
      </c>
      <c r="Y18" s="169">
        <f>IF('ENGLISH UNITS '!BB23="out of range","out of range",'ENGLISH UNITS '!BB23*6.89474)</f>
        <v>1657.5806181595847</v>
      </c>
      <c r="Z18" s="169">
        <f>IF('ENGLISH UNITS '!BC23="out of range","out of range",'ENGLISH UNITS '!BC23*6.89474)</f>
        <v>2493.3077120082644</v>
      </c>
      <c r="AB18" s="166">
        <f>'ENGLISH UNITS '!BE23/3.28084</f>
        <v>18.287999414784018</v>
      </c>
      <c r="AC18" s="168">
        <f>'ENGLISH UNITS '!BF23/2.5208</f>
        <v>1.1047894716628319</v>
      </c>
      <c r="AD18" s="166">
        <f>'ENGLISH UNITS '!BG23/3.28084</f>
        <v>18.287999414784018</v>
      </c>
      <c r="AE18" s="169">
        <f>'ENGLISH UNITS '!BH23</f>
        <v>9.2689069781262052</v>
      </c>
      <c r="AF18" s="169">
        <f>IF('ENGLISH UNITS '!BI23="out of range","out of range",'ENGLISH UNITS '!BI23*6.89474)</f>
        <v>1094.1173208489627</v>
      </c>
      <c r="AG18" s="169">
        <f>IF('ENGLISH UNITS '!BJ23="out of range","out of range",'ENGLISH UNITS '!BJ23*6.89474)</f>
        <v>3744.1172384734436</v>
      </c>
      <c r="AH18" s="169">
        <f>'ENGLISH UNITS '!BK23</f>
        <v>33.98808707998468</v>
      </c>
      <c r="AI18" s="169">
        <f>IF('ENGLISH UNITS '!BL23="out of range","out of range",'ENGLISH UNITS '!BL23*6.89474)</f>
        <v>6181.9078844548931</v>
      </c>
      <c r="AJ18" s="169">
        <f>IF('ENGLISH UNITS '!BM23="out of range","out of range",'ENGLISH UNITS '!BM23*6.89474)</f>
        <v>12819.676107642888</v>
      </c>
      <c r="AK18" s="169">
        <f>IF('ENGLISH UNITS '!BN23="out of range","out of range",'ENGLISH UNITS '!BN23*6.89474)</f>
        <v>1657.5806181595847</v>
      </c>
      <c r="AL18" s="169">
        <f>IF('ENGLISH UNITS '!BO23="out of range","out of range",'ENGLISH UNITS '!BO23*6.89474)</f>
        <v>2493.3077120082644</v>
      </c>
    </row>
    <row r="19" spans="1:38" ht="18.75" customHeight="1" x14ac:dyDescent="0.4">
      <c r="B19" s="62"/>
      <c r="C19" s="54" t="s">
        <v>74</v>
      </c>
      <c r="D19" s="54"/>
      <c r="E19" s="56">
        <f>'ENGLISH UNITS '!E24</f>
        <v>1</v>
      </c>
      <c r="F19" s="57"/>
      <c r="G19" s="153"/>
      <c r="H19" s="153"/>
      <c r="I19" s="163" t="s">
        <v>60</v>
      </c>
      <c r="J19" s="321">
        <f>'ENGLISH UNITS '!J23</f>
        <v>1</v>
      </c>
      <c r="K19" s="321"/>
      <c r="L19" s="54"/>
      <c r="M19" s="141"/>
      <c r="N19" s="54"/>
      <c r="O19" s="54"/>
      <c r="P19" s="166">
        <f>'ENGLISH UNITS '!AS24/3.28084</f>
        <v>21.335999317248021</v>
      </c>
      <c r="Q19" s="167">
        <v>50</v>
      </c>
      <c r="R19" s="168">
        <f>'ENGLISH UNITS '!AU24/2.5208</f>
        <v>1.2889210502733039</v>
      </c>
      <c r="S19" s="169">
        <f>'ENGLISH UNITS '!AV24</f>
        <v>12.320346705712048</v>
      </c>
      <c r="T19" s="169">
        <f>IF('ENGLISH UNITS '!AW24="Out of Range","Out of Range",'ENGLISH UNITS '!AW24*6.89474)</f>
        <v>778.46201846070062</v>
      </c>
      <c r="U19" s="169">
        <f>IF('ENGLISH UNITS '!AX24="out of range","out of range",'ENGLISH UNITS '!AX24*6.89474)</f>
        <v>3360.7026619150315</v>
      </c>
      <c r="V19" s="169">
        <f>'ENGLISH UNITS '!AY24</f>
        <v>36.690371530209653</v>
      </c>
      <c r="W19" s="169">
        <f>IF('ENGLISH UNITS '!AZ24="out of range","out of range",'ENGLISH UNITS '!AZ24*6.89474)</f>
        <v>3981.2284525524683</v>
      </c>
      <c r="X19" s="169">
        <f>IF('ENGLISH UNITS '!BA24="out of range","out of range",'ENGLISH UNITS '!BA24*6.89474)</f>
        <v>10472.410936095221</v>
      </c>
      <c r="Y19" s="169">
        <f>IF('ENGLISH UNITS '!BB24="out of range","out of range",'ENGLISH UNITS '!BB24*6.89474)</f>
        <v>994.33706637779903</v>
      </c>
      <c r="Z19" s="169">
        <f>IF('ENGLISH UNITS '!BC24="out of range","out of range",'ENGLISH UNITS '!BC24*6.89474)</f>
        <v>1942.4924615268383</v>
      </c>
      <c r="AB19" s="166">
        <f>'ENGLISH UNITS '!BE24/3.28084</f>
        <v>21.335999317248021</v>
      </c>
      <c r="AC19" s="168">
        <f>'ENGLISH UNITS '!BF24/2.5208</f>
        <v>1.2889210502733039</v>
      </c>
      <c r="AD19" s="166">
        <f>'ENGLISH UNITS '!BG24/3.28084</f>
        <v>21.335999317248021</v>
      </c>
      <c r="AE19" s="169">
        <f>'ENGLISH UNITS '!BH24</f>
        <v>12.320346705712048</v>
      </c>
      <c r="AF19" s="169">
        <f>IF('ENGLISH UNITS '!BI24="out of range","out of range",'ENGLISH UNITS '!BI24*6.89474)</f>
        <v>778.46201846070062</v>
      </c>
      <c r="AG19" s="169">
        <f>IF('ENGLISH UNITS '!BJ24="out of range","out of range",'ENGLISH UNITS '!BJ24*6.89474)</f>
        <v>3360.7026619150315</v>
      </c>
      <c r="AH19" s="169">
        <f>'ENGLISH UNITS '!BK24</f>
        <v>36.690371530209653</v>
      </c>
      <c r="AI19" s="169">
        <f>IF('ENGLISH UNITS '!BL24="out of range","out of range",'ENGLISH UNITS '!BL24*6.89474)</f>
        <v>3981.2284525524683</v>
      </c>
      <c r="AJ19" s="169">
        <f>IF('ENGLISH UNITS '!BM24="out of range","out of range",'ENGLISH UNITS '!BM24*6.89474)</f>
        <v>10472.410936095221</v>
      </c>
      <c r="AK19" s="169">
        <f>IF('ENGLISH UNITS '!BN24="out of range","out of range",'ENGLISH UNITS '!BN24*6.89474)</f>
        <v>994.33706637779903</v>
      </c>
      <c r="AL19" s="169">
        <f>IF('ENGLISH UNITS '!BO24="out of range","out of range",'ENGLISH UNITS '!BO24*6.89474)</f>
        <v>1942.4924615268383</v>
      </c>
    </row>
    <row r="20" spans="1:38" ht="18" x14ac:dyDescent="0.4">
      <c r="B20" s="62"/>
      <c r="C20" s="54" t="s">
        <v>75</v>
      </c>
      <c r="D20" s="54"/>
      <c r="E20" s="56">
        <f>'ENGLISH UNITS '!E25</f>
        <v>1</v>
      </c>
      <c r="F20" s="57"/>
      <c r="I20" s="163" t="s">
        <v>61</v>
      </c>
      <c r="J20" s="321">
        <f>'ENGLISH UNITS '!J24</f>
        <v>1</v>
      </c>
      <c r="K20" s="321"/>
      <c r="L20" s="54"/>
      <c r="M20" s="141"/>
      <c r="N20" s="54"/>
      <c r="O20" s="54"/>
      <c r="P20" s="166">
        <f>'ENGLISH UNITS '!AS25/3.28084</f>
        <v>24.383999219712024</v>
      </c>
      <c r="Q20" s="167">
        <v>50</v>
      </c>
      <c r="R20" s="168">
        <f>'ENGLISH UNITS '!AU25/2.5208</f>
        <v>1.4730526288837757</v>
      </c>
      <c r="S20" s="169">
        <f>'ENGLISH UNITS '!AV25</f>
        <v>15.816889908416568</v>
      </c>
      <c r="T20" s="169">
        <f>IF('ENGLISH UNITS '!AW25="Out of Range","Out of Range",'ENGLISH UNITS '!AW25*6.89474)</f>
        <v>574.93619994337905</v>
      </c>
      <c r="U20" s="169">
        <f>IF('ENGLISH UNITS '!AX25="out of range","out of range",'ENGLISH UNITS '!AX25*6.89474)</f>
        <v>2988.1658005758168</v>
      </c>
      <c r="V20" s="169">
        <f>'ENGLISH UNITS '!AY25</f>
        <v>35.841514648971511</v>
      </c>
      <c r="W20" s="169">
        <f>IF('ENGLISH UNITS '!AZ25="out of range","out of range",'ENGLISH UNITS '!AZ25*6.89474)</f>
        <v>2680.2908302433912</v>
      </c>
      <c r="X20" s="169">
        <f>IF('ENGLISH UNITS '!BA25="out of range","out of range",'ENGLISH UNITS '!BA25*6.89474)</f>
        <v>8820.8738378971611</v>
      </c>
      <c r="Y20" s="169">
        <f>IF('ENGLISH UNITS '!BB25="out of range","out of range",'ENGLISH UNITS '!BB25*6.89474)</f>
        <v>624.53161673013983</v>
      </c>
      <c r="Z20" s="169">
        <f>IF('ENGLISH UNITS '!BC25="out of range","out of range",'ENGLISH UNITS '!BC25*6.89474)</f>
        <v>1654.079545414796</v>
      </c>
      <c r="AB20" s="166">
        <f>'ENGLISH UNITS '!BE25/3.28084</f>
        <v>24.383999219712024</v>
      </c>
      <c r="AC20" s="168">
        <f>'ENGLISH UNITS '!BF25/2.5208</f>
        <v>1.4730526288837757</v>
      </c>
      <c r="AD20" s="166">
        <f>'ENGLISH UNITS '!BG25/3.28084</f>
        <v>24.383999219712024</v>
      </c>
      <c r="AE20" s="169">
        <f>'ENGLISH UNITS '!BH25</f>
        <v>15.816889908416568</v>
      </c>
      <c r="AF20" s="169">
        <f>IF('ENGLISH UNITS '!BI25="out of range","out of range",'ENGLISH UNITS '!BI25*6.89474)</f>
        <v>574.93619994337905</v>
      </c>
      <c r="AG20" s="169">
        <f>IF('ENGLISH UNITS '!BJ25="out of range","out of range",'ENGLISH UNITS '!BJ25*6.89474)</f>
        <v>2988.1658005758168</v>
      </c>
      <c r="AH20" s="169">
        <f>'ENGLISH UNITS '!BK25</f>
        <v>35.841514648971511</v>
      </c>
      <c r="AI20" s="169">
        <f>IF('ENGLISH UNITS '!BL25="out of range","out of range",'ENGLISH UNITS '!BL25*6.89474)</f>
        <v>2680.2908302433912</v>
      </c>
      <c r="AJ20" s="169">
        <f>IF('ENGLISH UNITS '!BM25="out of range","out of range",'ENGLISH UNITS '!BM25*6.89474)</f>
        <v>8820.8738378971611</v>
      </c>
      <c r="AK20" s="169">
        <f>IF('ENGLISH UNITS '!BN25="out of range","out of range",'ENGLISH UNITS '!BN25*6.89474)</f>
        <v>624.53161673013983</v>
      </c>
      <c r="AL20" s="169">
        <f>IF('ENGLISH UNITS '!BO25="out of range","out of range",'ENGLISH UNITS '!BO25*6.89474)</f>
        <v>1654.079545414796</v>
      </c>
    </row>
    <row r="21" spans="1:38" ht="19.5" customHeight="1" thickBot="1" x14ac:dyDescent="0.45">
      <c r="B21" s="62"/>
      <c r="C21" s="54" t="s">
        <v>402</v>
      </c>
      <c r="D21" s="54"/>
      <c r="E21" s="266">
        <f>'ENGLISH UNITS '!E26/2.20462</f>
        <v>4535.9290943563974</v>
      </c>
      <c r="F21" s="152"/>
      <c r="I21" s="163" t="s">
        <v>62</v>
      </c>
      <c r="J21" s="321">
        <f>'ENGLISH UNITS '!J25</f>
        <v>1</v>
      </c>
      <c r="K21" s="321"/>
      <c r="L21" s="54"/>
      <c r="M21" s="141"/>
      <c r="N21" s="54"/>
      <c r="O21" s="54"/>
      <c r="P21" s="166">
        <f>'ENGLISH UNITS '!AS26/3.28084</f>
        <v>27.431999122176027</v>
      </c>
      <c r="Q21" s="167">
        <v>50</v>
      </c>
      <c r="R21" s="168">
        <f>'ENGLISH UNITS '!AU26/2.5208</f>
        <v>1.6571842074942478</v>
      </c>
      <c r="S21" s="169">
        <f>'ENGLISH UNITS '!AV26</f>
        <v>19.743804992765011</v>
      </c>
      <c r="T21" s="169">
        <f>IF('ENGLISH UNITS '!AW26="Out of Range","Out of Range",'ENGLISH UNITS '!AW26*6.89474)</f>
        <v>438.33387385712291</v>
      </c>
      <c r="U21" s="169">
        <f>IF('ENGLISH UNITS '!AX26="out of range","out of range",'ENGLISH UNITS '!AX26*6.89474)</f>
        <v>2671.1157205246832</v>
      </c>
      <c r="V21" s="169">
        <f>'ENGLISH UNITS '!AY26</f>
        <v>34.529735507509052</v>
      </c>
      <c r="W21" s="169">
        <f>IF('ENGLISH UNITS '!AZ26="out of range","out of range",'ENGLISH UNITS '!AZ26*6.89474)</f>
        <v>1880.3021815768836</v>
      </c>
      <c r="X21" s="169">
        <f>IF('ENGLISH UNITS '!BA26="out of range","out of range",'ENGLISH UNITS '!BA26*6.89474)</f>
        <v>7601.522596333728</v>
      </c>
      <c r="Y21" s="169">
        <f>IF('ENGLISH UNITS '!BB26="out of range","out of range",'ENGLISH UNITS '!BB26*6.89474)</f>
        <v>408.37776715874543</v>
      </c>
      <c r="Z21" s="169">
        <f>IF('ENGLISH UNITS '!BC26="out of range","out of range",'ENGLISH UNITS '!BC26*6.89474)</f>
        <v>1457.4495427636582</v>
      </c>
      <c r="AB21" s="181">
        <f>'ENGLISH UNITS '!BE26/3.28084</f>
        <v>27.431999122176027</v>
      </c>
      <c r="AC21" s="182">
        <f>'ENGLISH UNITS '!BF26/2.5208</f>
        <v>1.6571842074942478</v>
      </c>
      <c r="AD21" s="181">
        <f>'ENGLISH UNITS '!BG26/3.28084</f>
        <v>27.431999122176027</v>
      </c>
      <c r="AE21" s="183">
        <f>'ENGLISH UNITS '!BH26</f>
        <v>19.743804992765011</v>
      </c>
      <c r="AF21" s="183">
        <f>IF('ENGLISH UNITS '!BI26="out of range","out of range",'ENGLISH UNITS '!BI26*6.89474)</f>
        <v>438.33387385712291</v>
      </c>
      <c r="AG21" s="183">
        <f>IF('ENGLISH UNITS '!BJ26="out of range","out of range",'ENGLISH UNITS '!BJ26*6.89474)</f>
        <v>2671.1157205246832</v>
      </c>
      <c r="AH21" s="183">
        <f>'ENGLISH UNITS '!BK26</f>
        <v>34.529735507509052</v>
      </c>
      <c r="AI21" s="183">
        <f>IF('ENGLISH UNITS '!BL26="out of range","out of range",'ENGLISH UNITS '!BL26*6.89474)</f>
        <v>1880.3021815768836</v>
      </c>
      <c r="AJ21" s="183">
        <f>IF('ENGLISH UNITS '!BM26="out of range","out of range",'ENGLISH UNITS '!BM26*6.89474)</f>
        <v>7601.522596333728</v>
      </c>
      <c r="AK21" s="183">
        <f>IF('ENGLISH UNITS '!BN26="out of range","out of range",'ENGLISH UNITS '!BN26*6.89474)</f>
        <v>408.37776715874543</v>
      </c>
      <c r="AL21" s="183">
        <f>IF('ENGLISH UNITS '!BO26="out of range","out of range",'ENGLISH UNITS '!BO26*6.89474)</f>
        <v>1457.4495427636582</v>
      </c>
    </row>
    <row r="22" spans="1:38" ht="19.2" thickTop="1" thickBot="1" x14ac:dyDescent="0.45">
      <c r="B22" s="62"/>
      <c r="C22" s="54" t="s">
        <v>403</v>
      </c>
      <c r="D22" s="54"/>
      <c r="E22" s="266">
        <f>'ENGLISH UNITS '!E27/2.20462</f>
        <v>4535.9290943563974</v>
      </c>
      <c r="F22" s="152"/>
      <c r="I22" s="163" t="s">
        <v>63</v>
      </c>
      <c r="J22" s="321">
        <f>'ENGLISH UNITS '!J26</f>
        <v>1</v>
      </c>
      <c r="K22" s="321"/>
      <c r="L22" s="54"/>
      <c r="M22" s="141"/>
      <c r="N22" s="54"/>
      <c r="O22" s="54"/>
      <c r="P22" s="47">
        <f>'ENGLISH UNITS '!AS27/3.28084</f>
        <v>30.47999902464003</v>
      </c>
      <c r="Q22" s="48">
        <v>50</v>
      </c>
      <c r="R22" s="47">
        <f>'ENGLISH UNITS '!AU27/2.5208</f>
        <v>1.8413157861047198</v>
      </c>
      <c r="S22" s="49">
        <f>'ENGLISH UNITS '!AV27</f>
        <v>24.026772636793208</v>
      </c>
      <c r="T22" s="49">
        <f>IF('ENGLISH UNITS '!AW27="Out of Range","Out of Range",'ENGLISH UNITS '!AW27*6.89474)</f>
        <v>343.47543692301787</v>
      </c>
      <c r="U22" s="49">
        <f>IF('ENGLISH UNITS '!AX27="out of range","out of range",'ENGLISH UNITS '!AX27*6.89474)</f>
        <v>2411.979676736833</v>
      </c>
      <c r="V22" s="49">
        <f>'ENGLISH UNITS '!AY27</f>
        <v>33.808580266982318</v>
      </c>
      <c r="W22" s="49">
        <f>IF('ENGLISH UNITS '!AZ27="out of range","out of range",'ENGLISH UNITS '!AZ27*6.89474)</f>
        <v>1358.1368127541573</v>
      </c>
      <c r="X22" s="49">
        <f>IF('ENGLISH UNITS '!BA27="out of range","out of range",'ENGLISH UNITS '!BA27*6.89474)</f>
        <v>6667.5074880347493</v>
      </c>
      <c r="Y22" s="49">
        <f>IF('ENGLISH UNITS '!BB27="out of range","out of range",'ENGLISH UNITS '!BB27*6.89474)</f>
        <v>276.63518282375657</v>
      </c>
      <c r="Z22" s="49">
        <f>IF('ENGLISH UNITS '!BC27="out of range","out of range",'ENGLISH UNITS '!BC27*6.89474)</f>
        <v>1279.6920867909589</v>
      </c>
      <c r="AB22" s="47">
        <f>'ENGLISH UNITS '!BE27/3.28084</f>
        <v>30.47999902464003</v>
      </c>
      <c r="AC22" s="48">
        <f>'ENGLISH UNITS '!BF27/2.5208</f>
        <v>1.8413157861047198</v>
      </c>
      <c r="AD22" s="47">
        <f>'ENGLISH UNITS '!BG27/3.28084</f>
        <v>30.47999902464003</v>
      </c>
      <c r="AE22" s="49">
        <f>'ENGLISH UNITS '!BH27</f>
        <v>24.026772636793208</v>
      </c>
      <c r="AF22" s="49">
        <f>IF('ENGLISH UNITS '!BI27="out of range","out of range",'ENGLISH UNITS '!BI27*6.89474)</f>
        <v>343.47543692301787</v>
      </c>
      <c r="AG22" s="49">
        <f>IF('ENGLISH UNITS '!BJ27="out of range","out of range",'ENGLISH UNITS '!BJ27*6.89474)</f>
        <v>2411.979676736833</v>
      </c>
      <c r="AH22" s="49">
        <f>'ENGLISH UNITS '!BK27</f>
        <v>33.808580266982318</v>
      </c>
      <c r="AI22" s="49">
        <f>IF('ENGLISH UNITS '!BL27="out of range","out of range",'ENGLISH UNITS '!BL27*6.89474)</f>
        <v>1358.1368127541573</v>
      </c>
      <c r="AJ22" s="49">
        <f>IF('ENGLISH UNITS '!BM27="out of range","out of range",'ENGLISH UNITS '!BM27*6.89474)</f>
        <v>6667.5074880347493</v>
      </c>
      <c r="AK22" s="49">
        <f>IF('ENGLISH UNITS '!BN27="out of range","out of range",'ENGLISH UNITS '!BN27*6.89474)</f>
        <v>276.63518282375657</v>
      </c>
      <c r="AL22" s="49">
        <f>IF('ENGLISH UNITS '!BO27="out of range","out of range",'ENGLISH UNITS '!BO27*6.89474)</f>
        <v>1279.6920867909589</v>
      </c>
    </row>
    <row r="23" spans="1:38" ht="18.600000000000001" thickTop="1" x14ac:dyDescent="0.35">
      <c r="B23" s="62"/>
      <c r="C23" s="85" t="s">
        <v>404</v>
      </c>
      <c r="D23" s="85"/>
      <c r="E23" s="266">
        <f>'ENGLISH UNITS '!E28/2.20462</f>
        <v>4535.9290943563974</v>
      </c>
      <c r="F23" s="152"/>
      <c r="I23" s="163"/>
      <c r="J23" s="184"/>
      <c r="K23" s="184"/>
      <c r="L23" s="54"/>
      <c r="M23" s="141"/>
      <c r="N23" s="54"/>
      <c r="O23" s="54"/>
      <c r="P23" s="166">
        <f>'ENGLISH UNITS '!AS28/3.28084</f>
        <v>36.575998829568036</v>
      </c>
      <c r="Q23" s="167">
        <v>50</v>
      </c>
      <c r="R23" s="168">
        <f>'ENGLISH UNITS '!AU28/2.5208</f>
        <v>2.2095789433256638</v>
      </c>
      <c r="S23" s="169">
        <f>'ENGLISH UNITS '!AV28</f>
        <v>33.799893088071016</v>
      </c>
      <c r="T23" s="169">
        <f>IF('ENGLISH UNITS '!AW28="Out of Range","Out of Range",'ENGLISH UNITS '!AW28*6.89474)</f>
        <v>225.91623942964873</v>
      </c>
      <c r="U23" s="169">
        <f>IF('ENGLISH UNITS '!AX28="out of range","out of range",'ENGLISH UNITS '!AX28*6.89474)</f>
        <v>2029.7511608293967</v>
      </c>
      <c r="V23" s="169">
        <f>'ENGLISH UNITS '!AY28</f>
        <v>34.923032228485631</v>
      </c>
      <c r="W23" s="169">
        <f>IF('ENGLISH UNITS '!AZ28="out of range","out of range",'ENGLISH UNITS '!AZ28*6.89474)</f>
        <v>780.82425514830845</v>
      </c>
      <c r="X23" s="169">
        <f>IF('ENGLISH UNITS '!BA28="out of range","out of range",'ENGLISH UNITS '!BA28*6.89474)</f>
        <v>5336.4219034568086</v>
      </c>
      <c r="Y23" s="169">
        <f>IF('ENGLISH UNITS '!BB28="out of range","out of range",'ENGLISH UNITS '!BB28*6.89474)</f>
        <v>138.83645853034935</v>
      </c>
      <c r="Z23" s="169">
        <f>IF('ENGLISH UNITS '!BC28="out of range","out of range",'ENGLISH UNITS '!BC28*6.89474)</f>
        <v>913.36907312993355</v>
      </c>
      <c r="AB23" s="159">
        <f>'ENGLISH UNITS '!BE28/3.28084</f>
        <v>36.575998829568036</v>
      </c>
      <c r="AC23" s="161">
        <f>'ENGLISH UNITS '!BF28/2.5208</f>
        <v>2.2095789433256638</v>
      </c>
      <c r="AD23" s="159">
        <f>'ENGLISH UNITS '!BG28/3.28084</f>
        <v>36.575998829568036</v>
      </c>
      <c r="AE23" s="162">
        <f>'ENGLISH UNITS '!BH28</f>
        <v>33.799893088071016</v>
      </c>
      <c r="AF23" s="162">
        <f>IF('ENGLISH UNITS '!BI28="out of range","out of range",'ENGLISH UNITS '!BI28*6.89474)</f>
        <v>225.91623942964873</v>
      </c>
      <c r="AG23" s="162">
        <f>IF('ENGLISH UNITS '!BJ28="out of range","out of range",'ENGLISH UNITS '!BJ28*6.89474)</f>
        <v>2029.7511608293967</v>
      </c>
      <c r="AH23" s="162">
        <f>'ENGLISH UNITS '!BK28</f>
        <v>34.923032228485631</v>
      </c>
      <c r="AI23" s="162">
        <f>IF('ENGLISH UNITS '!BL28="out of range","out of range",'ENGLISH UNITS '!BL28*6.89474)</f>
        <v>780.82425514830845</v>
      </c>
      <c r="AJ23" s="162">
        <f>IF('ENGLISH UNITS '!BM28="out of range","out of range",'ENGLISH UNITS '!BM28*6.89474)</f>
        <v>5336.4219034568086</v>
      </c>
      <c r="AK23" s="162">
        <f>IF('ENGLISH UNITS '!BN28="out of range","out of range",'ENGLISH UNITS '!BN28*6.89474)</f>
        <v>138.83645853034935</v>
      </c>
      <c r="AL23" s="162">
        <f>IF('ENGLISH UNITS '!BO28="out of range","out of range",'ENGLISH UNITS '!BO28*6.89474)</f>
        <v>913.36907312993355</v>
      </c>
    </row>
    <row r="24" spans="1:38" x14ac:dyDescent="0.3">
      <c r="B24" s="62"/>
      <c r="C24" s="85" t="s">
        <v>405</v>
      </c>
      <c r="D24" s="85"/>
      <c r="E24" s="266">
        <f>'ENGLISH UNITS '!E29/2.20462</f>
        <v>4535.9290943563974</v>
      </c>
      <c r="F24" s="152"/>
      <c r="I24" s="72"/>
      <c r="L24" s="54"/>
      <c r="M24" s="141"/>
      <c r="N24" s="54"/>
      <c r="O24" s="54"/>
      <c r="P24" s="166">
        <f>'ENGLISH UNITS '!AS29/3.28084</f>
        <v>42.671998634496042</v>
      </c>
      <c r="Q24" s="167">
        <v>50</v>
      </c>
      <c r="R24" s="168">
        <f>'ENGLISH UNITS '!AU29/2.5208</f>
        <v>2.5778421005466079</v>
      </c>
      <c r="S24" s="169">
        <f>'ENGLISH UNITS '!AV29</f>
        <v>44.851705826263029</v>
      </c>
      <c r="T24" s="169">
        <f>IF('ENGLISH UNITS '!AW29="Out of Range","Out of Range",'ENGLISH UNITS '!AW29*6.89474)</f>
        <v>160.13248535338687</v>
      </c>
      <c r="U24" s="169">
        <f>IF('ENGLISH UNITS '!AX29="out of range","out of range",'ENGLISH UNITS '!AX29*6.89474)</f>
        <v>1737.1494269852944</v>
      </c>
      <c r="V24" s="169">
        <f>'ENGLISH UNITS '!AY29</f>
        <v>39.47964383162536</v>
      </c>
      <c r="W24" s="169">
        <f>IF('ENGLISH UNITS '!AZ29="out of range","out of range",'ENGLISH UNITS '!AZ29*6.89474)</f>
        <v>499.16265375578411</v>
      </c>
      <c r="X24" s="169">
        <f>IF('ENGLISH UNITS '!BA29="out of range","out of range",'ENGLISH UNITS '!BA29*6.89474)</f>
        <v>4437.7405325754335</v>
      </c>
      <c r="Y24" s="169">
        <f>IF('ENGLISH UNITS '!BB29="out of range","out of range",'ENGLISH UNITS '!BB29*6.89474)</f>
        <v>76.838872876875627</v>
      </c>
      <c r="Z24" s="169">
        <f>IF('ENGLISH UNITS '!BC29="out of range","out of range",'ENGLISH UNITS '!BC29*6.89474)</f>
        <v>594.81597547253955</v>
      </c>
      <c r="AB24" s="166">
        <f>'ENGLISH UNITS '!BE29/3.28084</f>
        <v>42.671998634496042</v>
      </c>
      <c r="AC24" s="168">
        <f>'ENGLISH UNITS '!BF29/2.5208</f>
        <v>2.5778421005466079</v>
      </c>
      <c r="AD24" s="166">
        <f>'ENGLISH UNITS '!BG29/3.28084</f>
        <v>42.671998634496042</v>
      </c>
      <c r="AE24" s="169">
        <f>'ENGLISH UNITS '!BH29</f>
        <v>44.851705826263029</v>
      </c>
      <c r="AF24" s="169">
        <f>IF('ENGLISH UNITS '!BI29="out of range","out of range",'ENGLISH UNITS '!BI29*6.89474)</f>
        <v>160.13248535338687</v>
      </c>
      <c r="AG24" s="169">
        <f>IF('ENGLISH UNITS '!BJ29="out of range","out of range",'ENGLISH UNITS '!BJ29*6.89474)</f>
        <v>1737.1494269852944</v>
      </c>
      <c r="AH24" s="169">
        <f>'ENGLISH UNITS '!BK29</f>
        <v>39.47964383162536</v>
      </c>
      <c r="AI24" s="169">
        <f>IF('ENGLISH UNITS '!BL29="out of range","out of range",'ENGLISH UNITS '!BL29*6.89474)</f>
        <v>499.16265375578411</v>
      </c>
      <c r="AJ24" s="169">
        <f>IF('ENGLISH UNITS '!BM29="out of range","out of range",'ENGLISH UNITS '!BM29*6.89474)</f>
        <v>4437.7405325754335</v>
      </c>
      <c r="AK24" s="169">
        <f>IF('ENGLISH UNITS '!BN29="out of range","out of range",'ENGLISH UNITS '!BN29*6.89474)</f>
        <v>76.838872876875627</v>
      </c>
      <c r="AL24" s="169">
        <f>IF('ENGLISH UNITS '!BO29="out of range","out of range",'ENGLISH UNITS '!BO29*6.89474)</f>
        <v>594.81597547253955</v>
      </c>
    </row>
    <row r="25" spans="1:38" ht="22.8" x14ac:dyDescent="0.4">
      <c r="B25" s="62"/>
      <c r="C25" s="185" t="s">
        <v>615</v>
      </c>
      <c r="D25" s="185"/>
      <c r="E25" s="186"/>
      <c r="F25" s="186"/>
      <c r="G25" s="186"/>
      <c r="H25" s="186"/>
      <c r="I25" s="186"/>
      <c r="J25" s="187"/>
      <c r="K25" s="187"/>
      <c r="L25" s="188"/>
      <c r="M25" s="189"/>
      <c r="N25" s="60"/>
      <c r="O25" s="60"/>
      <c r="P25" s="166">
        <f>'ENGLISH UNITS '!AS30/3.28084</f>
        <v>48.767998439424048</v>
      </c>
      <c r="Q25" s="167">
        <v>50</v>
      </c>
      <c r="R25" s="168">
        <f>'ENGLISH UNITS '!AU30/2.5208</f>
        <v>2.9461052577675515</v>
      </c>
      <c r="S25" s="169">
        <f>'ENGLISH UNITS '!AV30</f>
        <v>56.95396390131819</v>
      </c>
      <c r="T25" s="169">
        <f>IF('ENGLISH UNITS '!AW30="Out of Range","Out of Range",'ENGLISH UNITS '!AW30*6.89474)</f>
        <v>120.30417499493245</v>
      </c>
      <c r="U25" s="169">
        <f>IF('ENGLISH UNITS '!AX30="out of range","out of range",'ENGLISH UNITS '!AX30*6.89474)</f>
        <v>1557.8092892232803</v>
      </c>
      <c r="V25" s="169">
        <f>'ENGLISH UNITS '!AY30</f>
        <v>46.160975801582168</v>
      </c>
      <c r="W25" s="169">
        <f>IF('ENGLISH UNITS '!AZ30="out of range","out of range",'ENGLISH UNITS '!AZ30*6.89474)</f>
        <v>345.97844763672697</v>
      </c>
      <c r="X25" s="169">
        <f>IF('ENGLISH UNITS '!BA30="out of range","out of range",'ENGLISH UNITS '!BA30*6.89474)</f>
        <v>3792.6589047676425</v>
      </c>
      <c r="Y25" s="169">
        <f>IF('ENGLISH UNITS '!BB30="out of range","out of range",'ENGLISH UNITS '!BB30*6.89474)</f>
        <v>45.973103097015937</v>
      </c>
      <c r="Z25" s="169">
        <f>IF('ENGLISH UNITS '!BC30="out of range","out of range",'ENGLISH UNITS '!BC30*6.89474)</f>
        <v>411.49434782831656</v>
      </c>
      <c r="AB25" s="166">
        <f>'ENGLISH UNITS '!BE30/3.28084</f>
        <v>48.767998439424048</v>
      </c>
      <c r="AC25" s="168">
        <f>'ENGLISH UNITS '!BF30/2.5208</f>
        <v>2.9461052577675515</v>
      </c>
      <c r="AD25" s="166">
        <f>'ENGLISH UNITS '!BG30/3.28084</f>
        <v>48.767998439424048</v>
      </c>
      <c r="AE25" s="169">
        <f>'ENGLISH UNITS '!BH30</f>
        <v>56.95396390131819</v>
      </c>
      <c r="AF25" s="169">
        <f>IF('ENGLISH UNITS '!BI30="out of range","out of range",'ENGLISH UNITS '!BI30*6.89474)</f>
        <v>120.30417499493245</v>
      </c>
      <c r="AG25" s="169">
        <f>IF('ENGLISH UNITS '!BJ30="out of range","out of range",'ENGLISH UNITS '!BJ30*6.89474)</f>
        <v>1557.8092892232803</v>
      </c>
      <c r="AH25" s="169">
        <f>'ENGLISH UNITS '!BK30</f>
        <v>46.160975801582168</v>
      </c>
      <c r="AI25" s="169">
        <f>IF('ENGLISH UNITS '!BL30="out of range","out of range",'ENGLISH UNITS '!BL30*6.89474)</f>
        <v>345.97844763672697</v>
      </c>
      <c r="AJ25" s="169">
        <f>IF('ENGLISH UNITS '!BM30="out of range","out of range",'ENGLISH UNITS '!BM30*6.89474)</f>
        <v>3792.6589047676425</v>
      </c>
      <c r="AK25" s="169">
        <f>IF('ENGLISH UNITS '!BN30="out of range","out of range",'ENGLISH UNITS '!BN30*6.89474)</f>
        <v>45.973103097015937</v>
      </c>
      <c r="AL25" s="169">
        <f>IF('ENGLISH UNITS '!BO30="out of range","out of range",'ENGLISH UNITS '!BO30*6.89474)</f>
        <v>411.49434782831656</v>
      </c>
    </row>
    <row r="26" spans="1:38" ht="22.8" x14ac:dyDescent="0.4">
      <c r="B26" s="62"/>
      <c r="C26" s="512" t="s">
        <v>1</v>
      </c>
      <c r="D26" s="512"/>
      <c r="E26" s="512"/>
      <c r="F26" s="512"/>
      <c r="G26" s="512"/>
      <c r="H26" s="322"/>
      <c r="I26" s="512" t="s">
        <v>555</v>
      </c>
      <c r="J26" s="512"/>
      <c r="K26" s="512"/>
      <c r="L26" s="512"/>
      <c r="M26" s="189"/>
      <c r="N26" s="60"/>
      <c r="O26" s="60"/>
      <c r="P26" s="166">
        <f>'ENGLISH UNITS '!AS31/3.28084</f>
        <v>54.863998244352054</v>
      </c>
      <c r="Q26" s="167">
        <v>50</v>
      </c>
      <c r="R26" s="168">
        <f>'ENGLISH UNITS '!AU31/2.5208</f>
        <v>3.3143684149884955</v>
      </c>
      <c r="S26" s="169">
        <f>'ENGLISH UNITS '!AV31</f>
        <v>69.912959351062</v>
      </c>
      <c r="T26" s="169">
        <f>IF('ENGLISH UNITS '!AW31="Out of Range","Out of Range",'ENGLISH UNITS '!AW31*6.89474)</f>
        <v>94.032309056641992</v>
      </c>
      <c r="U26" s="169">
        <f>IF('ENGLISH UNITS '!AX31="out of range","out of range",'ENGLISH UNITS '!AX31*6.89474)</f>
        <v>1410.9173253177644</v>
      </c>
      <c r="V26" s="169">
        <f>'ENGLISH UNITS '!AY31</f>
        <v>50.637239275100811</v>
      </c>
      <c r="W26" s="169">
        <f>IF('ENGLISH UNITS '!AZ31="out of range","out of range",'ENGLISH UNITS '!AZ31*6.89474)</f>
        <v>255.02477683497932</v>
      </c>
      <c r="X26" s="169">
        <f>IF('ENGLISH UNITS '!BA31="out of range","out of range",'ENGLISH UNITS '!BA31*6.89474)</f>
        <v>3308.2971146008522</v>
      </c>
      <c r="Y26" s="169">
        <f>IF('ENGLISH UNITS '!BB31="out of range","out of range",'ENGLISH UNITS '!BB31*6.89474)</f>
        <v>29.297852747930328</v>
      </c>
      <c r="Z26" s="169">
        <f>IF('ENGLISH UNITS '!BC31="out of range","out of range",'ENGLISH UNITS '!BC31*6.89474)</f>
        <v>297.25999587830046</v>
      </c>
      <c r="AB26" s="166">
        <f>'ENGLISH UNITS '!BE31/3.28084</f>
        <v>54.863998244352054</v>
      </c>
      <c r="AC26" s="168">
        <f>'ENGLISH UNITS '!BF31/2.5208</f>
        <v>3.3143684149884955</v>
      </c>
      <c r="AD26" s="166">
        <f>'ENGLISH UNITS '!BG31/3.28084</f>
        <v>54.863998244352054</v>
      </c>
      <c r="AE26" s="169">
        <f>'ENGLISH UNITS '!BH31</f>
        <v>69.912959351062</v>
      </c>
      <c r="AF26" s="169">
        <f>IF('ENGLISH UNITS '!BI31="out of range","out of range",'ENGLISH UNITS '!BI31*6.89474)</f>
        <v>94.032309056641992</v>
      </c>
      <c r="AG26" s="169">
        <f>IF('ENGLISH UNITS '!BJ31="out of range","out of range",'ENGLISH UNITS '!BJ31*6.89474)</f>
        <v>1410.9173253177644</v>
      </c>
      <c r="AH26" s="169">
        <f>'ENGLISH UNITS '!BK31</f>
        <v>50.637239275100811</v>
      </c>
      <c r="AI26" s="169">
        <f>IF('ENGLISH UNITS '!BL31="out of range","out of range",'ENGLISH UNITS '!BL31*6.89474)</f>
        <v>255.02477683497932</v>
      </c>
      <c r="AJ26" s="169">
        <f>IF('ENGLISH UNITS '!BM31="out of range","out of range",'ENGLISH UNITS '!BM31*6.89474)</f>
        <v>3308.2971146008522</v>
      </c>
      <c r="AK26" s="169">
        <f>IF('ENGLISH UNITS '!BN31="out of range","out of range",'ENGLISH UNITS '!BN31*6.89474)</f>
        <v>29.297852747930328</v>
      </c>
      <c r="AL26" s="169">
        <f>IF('ENGLISH UNITS '!BO31="out of range","out of range",'ENGLISH UNITS '!BO31*6.89474)</f>
        <v>297.25999587830046</v>
      </c>
    </row>
    <row r="27" spans="1:38" ht="17.399999999999999" x14ac:dyDescent="0.3">
      <c r="B27" s="62"/>
      <c r="C27" s="196"/>
      <c r="D27" s="196"/>
      <c r="E27" s="509" t="s">
        <v>554</v>
      </c>
      <c r="F27" s="601" t="s">
        <v>614</v>
      </c>
      <c r="G27" s="602"/>
      <c r="H27" s="323"/>
      <c r="I27" s="513" t="s">
        <v>559</v>
      </c>
      <c r="J27" s="511"/>
      <c r="K27" s="511"/>
      <c r="L27" s="511"/>
      <c r="M27" s="198"/>
      <c r="N27" s="155"/>
      <c r="O27" s="155"/>
      <c r="P27" s="166">
        <f>'ENGLISH UNITS '!AS32/3.28084</f>
        <v>60.95999804928006</v>
      </c>
      <c r="Q27" s="167">
        <v>50</v>
      </c>
      <c r="R27" s="168">
        <f>'ENGLISH UNITS '!AU32/2.5208</f>
        <v>3.6826315722094396</v>
      </c>
      <c r="S27" s="169">
        <f>'ENGLISH UNITS '!AV32</f>
        <v>83.568346590376336</v>
      </c>
      <c r="T27" s="169">
        <f>IF('ENGLISH UNITS '!AW32="Out of Range","Out of Range",'ENGLISH UNITS '!AW32*6.89474)</f>
        <v>76.135653417718032</v>
      </c>
      <c r="U27" s="169">
        <f>IF('ENGLISH UNITS '!AX32="out of range","out of range",'ENGLISH UNITS '!AX32*6.89474)</f>
        <v>1288.6610088445991</v>
      </c>
      <c r="V27" s="169">
        <f>'ENGLISH UNITS '!AY32</f>
        <v>54.19950101060892</v>
      </c>
      <c r="W27" s="169">
        <f>IF('ENGLISH UNITS '!AZ32="out of range","out of range",'ENGLISH UNITS '!AZ32*6.89474)</f>
        <v>197.09655732491007</v>
      </c>
      <c r="X27" s="169">
        <f>IF('ENGLISH UNITS '!BA32="out of range","out of range",'ENGLISH UNITS '!BA32*6.89474)</f>
        <v>2931.8700892766528</v>
      </c>
      <c r="Y27" s="169">
        <f>IF('ENGLISH UNITS '!BB32="out of range","out of range",'ENGLISH UNITS '!BB32*6.89474)</f>
        <v>19.664909428863645</v>
      </c>
      <c r="Z27" s="169">
        <f>IF('ENGLISH UNITS '!BC32="out of range","out of range",'ENGLISH UNITS '!BC32*6.89474)</f>
        <v>223.82339127136524</v>
      </c>
      <c r="AB27" s="166">
        <f>'ENGLISH UNITS '!BE32/3.28084</f>
        <v>60.95999804928006</v>
      </c>
      <c r="AC27" s="168">
        <f>'ENGLISH UNITS '!BF32/2.5208</f>
        <v>3.6826315722094396</v>
      </c>
      <c r="AD27" s="166">
        <f>'ENGLISH UNITS '!BG32/3.28084</f>
        <v>60.95999804928006</v>
      </c>
      <c r="AE27" s="169">
        <f>'ENGLISH UNITS '!BH32</f>
        <v>83.568346590376336</v>
      </c>
      <c r="AF27" s="169">
        <f>IF('ENGLISH UNITS '!BI32="out of range","out of range",'ENGLISH UNITS '!BI32*6.89474)</f>
        <v>76.135653417718032</v>
      </c>
      <c r="AG27" s="169">
        <f>IF('ENGLISH UNITS '!BJ32="out of range","out of range",'ENGLISH UNITS '!BJ32*6.89474)</f>
        <v>1288.6610088445991</v>
      </c>
      <c r="AH27" s="169">
        <f>'ENGLISH UNITS '!BK32</f>
        <v>54.19950101060892</v>
      </c>
      <c r="AI27" s="169">
        <f>IF('ENGLISH UNITS '!BL32="out of range","out of range",'ENGLISH UNITS '!BL32*6.89474)</f>
        <v>197.09655732491007</v>
      </c>
      <c r="AJ27" s="169">
        <f>IF('ENGLISH UNITS '!BM32="out of range","out of range",'ENGLISH UNITS '!BM32*6.89474)</f>
        <v>2931.8700892766528</v>
      </c>
      <c r="AK27" s="169">
        <f>IF('ENGLISH UNITS '!BN32="out of range","out of range",'ENGLISH UNITS '!BN32*6.89474)</f>
        <v>19.664909428863645</v>
      </c>
      <c r="AL27" s="169">
        <f>IF('ENGLISH UNITS '!BO32="out of range","out of range",'ENGLISH UNITS '!BO32*6.89474)</f>
        <v>223.82339127136524</v>
      </c>
    </row>
    <row r="28" spans="1:38" ht="17.399999999999999" x14ac:dyDescent="0.3">
      <c r="B28" s="62"/>
      <c r="C28" s="196"/>
      <c r="D28" s="196"/>
      <c r="E28" s="650"/>
      <c r="F28" s="603">
        <f>'ENGLISH UNITS '!F33/3.28084</f>
        <v>0</v>
      </c>
      <c r="G28" s="522"/>
      <c r="H28" s="323"/>
      <c r="J28" s="201"/>
      <c r="K28" s="201"/>
      <c r="L28" s="155"/>
      <c r="M28" s="198"/>
      <c r="N28" s="155"/>
      <c r="O28" s="155"/>
      <c r="P28" s="166">
        <f>'ENGLISH UNITS '!AS33/3.28084</f>
        <v>68.579997805440073</v>
      </c>
      <c r="Q28" s="167">
        <v>50</v>
      </c>
      <c r="R28" s="168">
        <f>'ENGLISH UNITS '!AU33/2.5208</f>
        <v>4.1429605187356193</v>
      </c>
      <c r="S28" s="169">
        <f>'ENGLISH UNITS '!AV33</f>
        <v>101.41997725858626</v>
      </c>
      <c r="T28" s="169">
        <f>IF('ENGLISH UNITS '!AW33="Out of Range","Out of Range",'ENGLISH UNITS '!AW33*6.89474)</f>
        <v>60.73620329876087</v>
      </c>
      <c r="U28" s="169">
        <f>IF('ENGLISH UNITS '!AX33="out of range","out of range",'ENGLISH UNITS '!AX33*6.89474)</f>
        <v>1162.1561638687413</v>
      </c>
      <c r="V28" s="169">
        <f>'ENGLISH UNITS '!AY33</f>
        <v>57.753749845849512</v>
      </c>
      <c r="W28" s="169">
        <f>IF('ENGLISH UNITS '!AZ33="out of range","out of range",'ENGLISH UNITS '!AZ33*6.89474)</f>
        <v>150.29929014211524</v>
      </c>
      <c r="X28" s="169">
        <f>IF('ENGLISH UNITS '!BA33="out of range","out of range",'ENGLISH UNITS '!BA33*6.89474)</f>
        <v>2565.3711421689668</v>
      </c>
      <c r="Y28" s="169">
        <f>IF('ENGLISH UNITS '!BB33="out of range","out of range",'ENGLISH UNITS '!BB33*6.89474)</f>
        <v>12.684307869317525</v>
      </c>
      <c r="Z28" s="169">
        <f>IF('ENGLISH UNITS '!BC33="out of range","out of range",'ENGLISH UNITS '!BC33*6.89474)</f>
        <v>164.9082343902389</v>
      </c>
      <c r="AB28" s="166">
        <f>'ENGLISH UNITS '!BE33/3.28084</f>
        <v>68.579997805440073</v>
      </c>
      <c r="AC28" s="168">
        <f>'ENGLISH UNITS '!BF33/2.5208</f>
        <v>4.1429605187356193</v>
      </c>
      <c r="AD28" s="166">
        <f>'ENGLISH UNITS '!BG33/3.28084</f>
        <v>68.579997805440073</v>
      </c>
      <c r="AE28" s="169">
        <f>'ENGLISH UNITS '!BH33</f>
        <v>101.41997725858626</v>
      </c>
      <c r="AF28" s="169">
        <f>IF('ENGLISH UNITS '!BI33="out of range","out of range",'ENGLISH UNITS '!BI33*6.89474)</f>
        <v>60.73620329876087</v>
      </c>
      <c r="AG28" s="169">
        <f>IF('ENGLISH UNITS '!BJ33="out of range","out of range",'ENGLISH UNITS '!BJ33*6.89474)</f>
        <v>1162.1561638687413</v>
      </c>
      <c r="AH28" s="169">
        <f>'ENGLISH UNITS '!BK33</f>
        <v>57.753749845849512</v>
      </c>
      <c r="AI28" s="169">
        <f>IF('ENGLISH UNITS '!BL33="out of range","out of range",'ENGLISH UNITS '!BL33*6.89474)</f>
        <v>150.29929014211524</v>
      </c>
      <c r="AJ28" s="169">
        <f>IF('ENGLISH UNITS '!BM33="out of range","out of range",'ENGLISH UNITS '!BM33*6.89474)</f>
        <v>2565.3711421689668</v>
      </c>
      <c r="AK28" s="169">
        <f>IF('ENGLISH UNITS '!BN33="out of range","out of range",'ENGLISH UNITS '!BN33*6.89474)</f>
        <v>12.684307869317525</v>
      </c>
      <c r="AL28" s="169">
        <f>IF('ENGLISH UNITS '!BO33="out of range","out of range",'ENGLISH UNITS '!BO33*6.89474)</f>
        <v>164.9082343902389</v>
      </c>
    </row>
    <row r="29" spans="1:38" ht="18.600000000000001" x14ac:dyDescent="0.3">
      <c r="B29" s="62"/>
      <c r="C29" s="85" t="s">
        <v>455</v>
      </c>
      <c r="D29" s="85"/>
      <c r="E29" s="203">
        <f>'ENGLISH UNITS '!E34/3.28084</f>
        <v>30.47999902464003</v>
      </c>
      <c r="F29" s="604">
        <f>'ENGLISH UNITS '!F34/3.28084</f>
        <v>30.47999902464003</v>
      </c>
      <c r="G29" s="602"/>
      <c r="H29" s="324"/>
      <c r="I29" s="84" t="s">
        <v>460</v>
      </c>
      <c r="J29" s="84"/>
      <c r="K29" s="54"/>
      <c r="L29" s="205"/>
      <c r="M29" s="204"/>
      <c r="N29" s="205"/>
      <c r="O29" s="205"/>
      <c r="P29" s="166">
        <f>'ENGLISH UNITS '!AS34/3.28084</f>
        <v>76.199997561600085</v>
      </c>
      <c r="Q29" s="167">
        <v>50</v>
      </c>
      <c r="R29" s="168">
        <f>'ENGLISH UNITS '!AU34/2.5208</f>
        <v>4.6032894652617999</v>
      </c>
      <c r="S29" s="169">
        <f>'ENGLISH UNITS '!AV34</f>
        <v>119.95508373825105</v>
      </c>
      <c r="T29" s="169">
        <f>IF('ENGLISH UNITS '!AW34="Out of Range","Out of Range",'ENGLISH UNITS '!AW34*6.89474)</f>
        <v>50.051095808806188</v>
      </c>
      <c r="U29" s="169">
        <f>IF('ENGLISH UNITS '!AX34="out of range","out of range",'ENGLISH UNITS '!AX34*6.89474)</f>
        <v>1057.8904139234987</v>
      </c>
      <c r="V29" s="169">
        <f>'ENGLISH UNITS '!AY34</f>
        <v>60.627764042444788</v>
      </c>
      <c r="W29" s="169">
        <f>IF('ENGLISH UNITS '!AZ34="out of range","out of range",'ENGLISH UNITS '!AZ34*6.89474)</f>
        <v>119.69268912120121</v>
      </c>
      <c r="X29" s="169">
        <f>IF('ENGLISH UNITS '!BA34="out of range","out of range",'ENGLISH UNITS '!BA34*6.89474)</f>
        <v>2279.3792628277988</v>
      </c>
      <c r="Y29" s="169">
        <f>IF('ENGLISH UNITS '!BB34="out of range","out of range",'ENGLISH UNITS '!BB34*6.89474)</f>
        <v>8.6406040046946675</v>
      </c>
      <c r="Z29" s="169">
        <f>IF('ENGLISH UNITS '!BC34="out of range","out of range",'ENGLISH UNITS '!BC34*6.89474)</f>
        <v>126.91043511502454</v>
      </c>
      <c r="AB29" s="166">
        <f>'ENGLISH UNITS '!BE34/3.28084</f>
        <v>76.199997561600085</v>
      </c>
      <c r="AC29" s="168">
        <f>'ENGLISH UNITS '!BF34/2.5208</f>
        <v>4.6032894652617999</v>
      </c>
      <c r="AD29" s="166">
        <f>'ENGLISH UNITS '!BG34/3.28084</f>
        <v>76.199997561600085</v>
      </c>
      <c r="AE29" s="169">
        <f>'ENGLISH UNITS '!BH34</f>
        <v>119.95508373825105</v>
      </c>
      <c r="AF29" s="169">
        <f>IF('ENGLISH UNITS '!BI34="out of range","out of range",'ENGLISH UNITS '!BI34*6.89474)</f>
        <v>50.051095808806188</v>
      </c>
      <c r="AG29" s="169">
        <f>IF('ENGLISH UNITS '!BJ34="out of range","out of range",'ENGLISH UNITS '!BJ34*6.89474)</f>
        <v>1057.8904139234987</v>
      </c>
      <c r="AH29" s="169">
        <f>'ENGLISH UNITS '!BK34</f>
        <v>60.627764042444788</v>
      </c>
      <c r="AI29" s="169">
        <f>IF('ENGLISH UNITS '!BL34="out of range","out of range",'ENGLISH UNITS '!BL34*6.89474)</f>
        <v>119.69268912120121</v>
      </c>
      <c r="AJ29" s="169">
        <f>IF('ENGLISH UNITS '!BM34="out of range","out of range",'ENGLISH UNITS '!BM34*6.89474)</f>
        <v>2279.3792628277988</v>
      </c>
      <c r="AK29" s="169">
        <f>IF('ENGLISH UNITS '!BN34="out of range","out of range",'ENGLISH UNITS '!BN34*6.89474)</f>
        <v>8.6406040046946675</v>
      </c>
      <c r="AL29" s="169">
        <f>IF('ENGLISH UNITS '!BO34="out of range","out of range",'ENGLISH UNITS '!BO34*6.89474)</f>
        <v>126.91043511502454</v>
      </c>
    </row>
    <row r="30" spans="1:38" x14ac:dyDescent="0.3">
      <c r="B30" s="62"/>
      <c r="C30" s="206"/>
      <c r="D30" s="206"/>
      <c r="E30" s="207"/>
      <c r="F30" s="504"/>
      <c r="G30" s="505"/>
      <c r="H30" s="325"/>
      <c r="I30" s="208" t="s">
        <v>461</v>
      </c>
      <c r="J30" s="208"/>
      <c r="K30" s="434">
        <f>'ENGLISH UNITS '!K35</f>
        <v>1</v>
      </c>
      <c r="L30" s="54"/>
      <c r="M30" s="141"/>
      <c r="N30" s="54"/>
      <c r="O30" s="54"/>
      <c r="P30" s="166">
        <f>'ENGLISH UNITS '!AS35/3.28084</f>
        <v>83.819997317760084</v>
      </c>
      <c r="Q30" s="167">
        <v>50</v>
      </c>
      <c r="R30" s="168">
        <f>'ENGLISH UNITS '!AU35/2.5208</f>
        <v>5.0636184117879797</v>
      </c>
      <c r="S30" s="169">
        <f>'ENGLISH UNITS '!AV35</f>
        <v>139.01949929833879</v>
      </c>
      <c r="T30" s="169">
        <f>IF('ENGLISH UNITS '!AW35="Out of Range","Out of Range",'ENGLISH UNITS '!AW35*6.89474)</f>
        <v>42.298313078258154</v>
      </c>
      <c r="U30" s="169">
        <f>IF('ENGLISH UNITS '!AX35="out of range","out of range",'ENGLISH UNITS '!AX35*6.89474)</f>
        <v>970.5666185578209</v>
      </c>
      <c r="V30" s="169">
        <f>'ENGLISH UNITS '!AY35</f>
        <v>63.045832885902747</v>
      </c>
      <c r="W30" s="169">
        <f>IF('ENGLISH UNITS '!AZ35="out of range","out of range",'ENGLISH UNITS '!AZ35*6.89474)</f>
        <v>98.532857829670547</v>
      </c>
      <c r="X30" s="169">
        <f>IF('ENGLISH UNITS '!BA35="out of range","out of range",'ENGLISH UNITS '!BA35*6.89474)</f>
        <v>2050.1835246456039</v>
      </c>
      <c r="Y30" s="169">
        <f>IF('ENGLISH UNITS '!BB35="out of range","out of range",'ENGLISH UNITS '!BB35*6.89474)</f>
        <v>6.1553042821606008</v>
      </c>
      <c r="Z30" s="169">
        <f>IF('ENGLISH UNITS '!BC35="out of range","out of range",'ENGLISH UNITS '!BC35*6.89474)</f>
        <v>101.00789499224366</v>
      </c>
      <c r="AB30" s="166">
        <f>'ENGLISH UNITS '!BE35/3.28084</f>
        <v>83.819997317760084</v>
      </c>
      <c r="AC30" s="168">
        <f>'ENGLISH UNITS '!BF35/2.5208</f>
        <v>5.0636184117879797</v>
      </c>
      <c r="AD30" s="166">
        <f>'ENGLISH UNITS '!BG35/3.28084</f>
        <v>83.819997317760084</v>
      </c>
      <c r="AE30" s="169">
        <f>'ENGLISH UNITS '!BH35</f>
        <v>139.01949929833879</v>
      </c>
      <c r="AF30" s="169">
        <f>IF('ENGLISH UNITS '!BI35="out of range","out of range",'ENGLISH UNITS '!BI35*6.89474)</f>
        <v>42.298313078258154</v>
      </c>
      <c r="AG30" s="169">
        <f>IF('ENGLISH UNITS '!BJ35="out of range","out of range",'ENGLISH UNITS '!BJ35*6.89474)</f>
        <v>970.5666185578209</v>
      </c>
      <c r="AH30" s="169">
        <f>'ENGLISH UNITS '!BK35</f>
        <v>63.045832885902747</v>
      </c>
      <c r="AI30" s="169">
        <f>IF('ENGLISH UNITS '!BL35="out of range","out of range",'ENGLISH UNITS '!BL35*6.89474)</f>
        <v>98.532857829670547</v>
      </c>
      <c r="AJ30" s="169">
        <f>IF('ENGLISH UNITS '!BM35="out of range","out of range",'ENGLISH UNITS '!BM35*6.89474)</f>
        <v>2050.1835246456039</v>
      </c>
      <c r="AK30" s="169">
        <f>IF('ENGLISH UNITS '!BN35="out of range","out of range",'ENGLISH UNITS '!BN35*6.89474)</f>
        <v>6.1553042821606008</v>
      </c>
      <c r="AL30" s="169">
        <f>IF('ENGLISH UNITS '!BO35="out of range","out of range",'ENGLISH UNITS '!BO35*6.89474)</f>
        <v>101.00789499224366</v>
      </c>
    </row>
    <row r="31" spans="1:38" ht="18.600000000000001" x14ac:dyDescent="0.3">
      <c r="B31" s="62"/>
      <c r="C31" s="54" t="s">
        <v>71</v>
      </c>
      <c r="D31" s="54"/>
      <c r="E31" s="203">
        <f>'ENGLISH UNITS '!E36/2.5208</f>
        <v>1.8413157861047198</v>
      </c>
      <c r="F31" s="504">
        <f>'ENGLISH UNITS '!F36/2.5208</f>
        <v>1.8413157861047198</v>
      </c>
      <c r="G31" s="505"/>
      <c r="H31" s="326"/>
      <c r="I31" s="66" t="s">
        <v>25</v>
      </c>
      <c r="J31" s="66"/>
      <c r="K31" s="435"/>
      <c r="L31" s="155"/>
      <c r="M31" s="198"/>
      <c r="N31" s="155"/>
      <c r="O31" s="155"/>
      <c r="P31" s="166">
        <f>'ENGLISH UNITS '!AS36/3.28084</f>
        <v>91.439997073920097</v>
      </c>
      <c r="Q31" s="167">
        <v>50</v>
      </c>
      <c r="R31" s="168">
        <f>'ENGLISH UNITS '!AU36/2.5208</f>
        <v>5.5239473583141594</v>
      </c>
      <c r="S31" s="169">
        <f>'ENGLISH UNITS '!AV36</f>
        <v>158.49589207292195</v>
      </c>
      <c r="T31" s="169">
        <f>IF('ENGLISH UNITS '!AW36="Out of Range","Out of Range",'ENGLISH UNITS '!AW36*6.89474)</f>
        <v>36.468588672860122</v>
      </c>
      <c r="U31" s="169">
        <f>IF('ENGLISH UNITS '!AX36="out of range","out of range",'ENGLISH UNITS '!AX36*6.89474)</f>
        <v>896.42214353109466</v>
      </c>
      <c r="V31" s="169">
        <f>'ENGLISH UNITS '!AY36</f>
        <v>65.151458548372631</v>
      </c>
      <c r="W31" s="169">
        <f>IF('ENGLISH UNITS '!AZ36="out of range","out of range",'ENGLISH UNITS '!AZ36*6.89474)</f>
        <v>83.239039501178894</v>
      </c>
      <c r="X31" s="169">
        <f>IF('ENGLISH UNITS '!BA36="out of range","out of range",'ENGLISH UNITS '!BA36*6.89474)</f>
        <v>1862.501352613707</v>
      </c>
      <c r="Y31" s="169">
        <f>IF('ENGLISH UNITS '!BB36="out of range","out of range",'ENGLISH UNITS '!BB36*6.89474)</f>
        <v>4.5507734559773576</v>
      </c>
      <c r="Z31" s="169">
        <f>IF('ENGLISH UNITS '!BC36="out of range","out of range",'ENGLISH UNITS '!BC36*6.89474)</f>
        <v>82.511847809339628</v>
      </c>
      <c r="AB31" s="166">
        <f>'ENGLISH UNITS '!BE36/3.28084</f>
        <v>91.439997073920097</v>
      </c>
      <c r="AC31" s="168">
        <f>'ENGLISH UNITS '!BF36/2.5208</f>
        <v>5.5239473583141594</v>
      </c>
      <c r="AD31" s="166">
        <f>'ENGLISH UNITS '!BG36/3.28084</f>
        <v>91.439997073920097</v>
      </c>
      <c r="AE31" s="169">
        <f>'ENGLISH UNITS '!BH36</f>
        <v>158.49589207292195</v>
      </c>
      <c r="AF31" s="169">
        <f>IF('ENGLISH UNITS '!BI36="out of range","out of range",'ENGLISH UNITS '!BI36*6.89474)</f>
        <v>36.468588672860122</v>
      </c>
      <c r="AG31" s="169">
        <f>IF('ENGLISH UNITS '!BJ36="out of range","out of range",'ENGLISH UNITS '!BJ36*6.89474)</f>
        <v>896.42214353109466</v>
      </c>
      <c r="AH31" s="169">
        <f>'ENGLISH UNITS '!BK36</f>
        <v>65.151458548372631</v>
      </c>
      <c r="AI31" s="169">
        <f>IF('ENGLISH UNITS '!BL36="out of range","out of range",'ENGLISH UNITS '!BL36*6.89474)</f>
        <v>83.239039501178894</v>
      </c>
      <c r="AJ31" s="169">
        <f>IF('ENGLISH UNITS '!BM36="out of range","out of range",'ENGLISH UNITS '!BM36*6.89474)</f>
        <v>1862.501352613707</v>
      </c>
      <c r="AK31" s="169">
        <f>IF('ENGLISH UNITS '!BN36="out of range","out of range",'ENGLISH UNITS '!BN36*6.89474)</f>
        <v>4.5507734559773576</v>
      </c>
      <c r="AL31" s="169">
        <f>IF('ENGLISH UNITS '!BO36="out of range","out of range",'ENGLISH UNITS '!BO36*6.89474)</f>
        <v>82.511847809339628</v>
      </c>
    </row>
    <row r="32" spans="1:38" s="54" customFormat="1" x14ac:dyDescent="0.3">
      <c r="A32" s="53"/>
      <c r="B32" s="62"/>
      <c r="C32" s="206"/>
      <c r="D32" s="206"/>
      <c r="E32" s="207"/>
      <c r="F32" s="504"/>
      <c r="G32" s="505"/>
      <c r="H32" s="325"/>
      <c r="J32" s="72"/>
      <c r="K32" s="431"/>
      <c r="M32" s="141"/>
      <c r="P32" s="166">
        <f>'ENGLISH UNITS '!AS37/3.28084</f>
        <v>106.67999658624011</v>
      </c>
      <c r="Q32" s="167">
        <v>50</v>
      </c>
      <c r="R32" s="168">
        <f>'ENGLISH UNITS '!AU37/2.5208</f>
        <v>6.4446052513665188</v>
      </c>
      <c r="S32" s="169">
        <f>'ENGLISH UNITS '!AV37</f>
        <v>198.34901903526514</v>
      </c>
      <c r="T32" s="169">
        <f>IF('ENGLISH UNITS '!AW37="Out of Range","Out of Range",'ENGLISH UNITS '!AW37*6.89474)</f>
        <v>28.375344443927418</v>
      </c>
      <c r="U32" s="169">
        <f>IF('ENGLISH UNITS '!AX37="out of range","out of range",'ENGLISH UNITS '!AX37*6.89474)</f>
        <v>777.41683465413439</v>
      </c>
      <c r="V32" s="169">
        <f>'ENGLISH UNITS '!AY37</f>
        <v>68.763256476524901</v>
      </c>
      <c r="W32" s="169">
        <f>IF('ENGLISH UNITS '!AZ37="out of range","out of range",'ENGLISH UNITS '!AZ37*6.89474)</f>
        <v>62.927193234569174</v>
      </c>
      <c r="X32" s="169">
        <f>IF('ENGLISH UNITS '!BA37="out of range","out of range",'ENGLISH UNITS '!BA37*6.89474)</f>
        <v>1573.6811943456021</v>
      </c>
      <c r="Y32" s="169">
        <f>IF('ENGLISH UNITS '!BB37="out of range","out of range",'ENGLISH UNITS '!BB37*6.89474)</f>
        <v>2.7184174712613758</v>
      </c>
      <c r="Z32" s="169">
        <f>IF('ENGLISH UNITS '!BC37="out of range","out of range",'ENGLISH UNITS '!BC37*6.89474)</f>
        <v>58.287610119408853</v>
      </c>
      <c r="AA32" s="53"/>
      <c r="AB32" s="166">
        <f>'ENGLISH UNITS '!BE37/3.28084</f>
        <v>106.67999658624011</v>
      </c>
      <c r="AC32" s="168">
        <f>'ENGLISH UNITS '!BF37/2.5208</f>
        <v>6.4446052513665188</v>
      </c>
      <c r="AD32" s="166">
        <f>'ENGLISH UNITS '!BG37/3.28084</f>
        <v>106.67999658624011</v>
      </c>
      <c r="AE32" s="169">
        <f>'ENGLISH UNITS '!BH37</f>
        <v>198.34901903526514</v>
      </c>
      <c r="AF32" s="169">
        <f>IF('ENGLISH UNITS '!BI37="out of range","out of range",'ENGLISH UNITS '!BI37*6.89474)</f>
        <v>28.375344443927418</v>
      </c>
      <c r="AG32" s="169">
        <f>IF('ENGLISH UNITS '!BJ37="out of range","out of range",'ENGLISH UNITS '!BJ37*6.89474)</f>
        <v>777.41683465413439</v>
      </c>
      <c r="AH32" s="169">
        <f>'ENGLISH UNITS '!BK37</f>
        <v>68.763256476524901</v>
      </c>
      <c r="AI32" s="169">
        <f>IF('ENGLISH UNITS '!BL37="out of range","out of range",'ENGLISH UNITS '!BL37*6.89474)</f>
        <v>62.927193234569174</v>
      </c>
      <c r="AJ32" s="169">
        <f>IF('ENGLISH UNITS '!BM37="out of range","out of range",'ENGLISH UNITS '!BM37*6.89474)</f>
        <v>1573.6811943456021</v>
      </c>
      <c r="AK32" s="169">
        <f>IF('ENGLISH UNITS '!BN37="out of range","out of range",'ENGLISH UNITS '!BN37*6.89474)</f>
        <v>2.7184174712613758</v>
      </c>
      <c r="AL32" s="169">
        <f>IF('ENGLISH UNITS '!BO37="out of range","out of range",'ENGLISH UNITS '!BO37*6.89474)</f>
        <v>58.287610119408853</v>
      </c>
    </row>
    <row r="33" spans="1:38" ht="18.600000000000001" x14ac:dyDescent="0.3">
      <c r="B33" s="62"/>
      <c r="C33" s="54" t="s">
        <v>238</v>
      </c>
      <c r="D33" s="54"/>
      <c r="E33" s="203">
        <f>'ENGLISH UNITS '!E38</f>
        <v>24.026772636793208</v>
      </c>
      <c r="F33" s="504">
        <f>'ENGLISH UNITS '!F38</f>
        <v>24.026772636793208</v>
      </c>
      <c r="G33" s="505"/>
      <c r="H33" s="327"/>
      <c r="I33" s="66" t="s">
        <v>462</v>
      </c>
      <c r="J33" s="66"/>
      <c r="K33" s="436"/>
      <c r="L33" s="54"/>
      <c r="M33" s="141"/>
      <c r="N33" s="54"/>
      <c r="O33" s="54"/>
      <c r="P33" s="166">
        <f>'ENGLISH UNITS '!AS38/3.28084</f>
        <v>121.91999609856012</v>
      </c>
      <c r="Q33" s="167">
        <v>50</v>
      </c>
      <c r="R33" s="168">
        <f>'ENGLISH UNITS '!AU38/2.5208</f>
        <v>7.3652631444188792</v>
      </c>
      <c r="S33" s="169">
        <f>'ENGLISH UNITS '!AV38</f>
        <v>239.02718821426924</v>
      </c>
      <c r="T33" s="169">
        <f>IF('ENGLISH UNITS '!AW38="Out of Range","Out of Range",'ENGLISH UNITS '!AW38*6.89474)</f>
        <v>23.090117827175028</v>
      </c>
      <c r="U33" s="169">
        <f>IF('ENGLISH UNITS '!AX38="out of range","out of range",'ENGLISH UNITS '!AX38*6.89474)</f>
        <v>686.19733491813395</v>
      </c>
      <c r="V33" s="169">
        <f>'ENGLISH UNITS '!AY38</f>
        <v>71.883224294962673</v>
      </c>
      <c r="W33" s="169">
        <f>IF('ENGLISH UNITS '!AZ38="out of range","out of range",'ENGLISH UNITS '!AZ38*6.89474)</f>
        <v>50.253280313887011</v>
      </c>
      <c r="X33" s="169">
        <f>IF('ENGLISH UNITS '!BA38="out of range","out of range",'ENGLISH UNITS '!BA38*6.89474)</f>
        <v>1361.9713211361377</v>
      </c>
      <c r="Y33" s="169">
        <f>IF('ENGLISH UNITS '!BB38="out of range","out of range",'ENGLISH UNITS '!BB38*6.89474)</f>
        <v>1.7786546753681221</v>
      </c>
      <c r="Z33" s="169">
        <f>IF('ENGLISH UNITS '!BC38="out of range","out of range",'ENGLISH UNITS '!BC38*6.89474)</f>
        <v>43.428594198222278</v>
      </c>
      <c r="AB33" s="166">
        <f>'ENGLISH UNITS '!BE38/3.28084</f>
        <v>121.91999609856012</v>
      </c>
      <c r="AC33" s="168">
        <f>'ENGLISH UNITS '!BF38/2.5208</f>
        <v>7.3652631444188792</v>
      </c>
      <c r="AD33" s="166">
        <f>'ENGLISH UNITS '!BG38/3.28084</f>
        <v>121.91999609856012</v>
      </c>
      <c r="AE33" s="169">
        <f>'ENGLISH UNITS '!BH38</f>
        <v>239.02718821426924</v>
      </c>
      <c r="AF33" s="169">
        <f>IF('ENGLISH UNITS '!BI38="out of range","out of range",'ENGLISH UNITS '!BI38*6.89474)</f>
        <v>23.090117827175028</v>
      </c>
      <c r="AG33" s="169">
        <f>IF('ENGLISH UNITS '!BJ38="out of range","out of range",'ENGLISH UNITS '!BJ38*6.89474)</f>
        <v>686.19733491813395</v>
      </c>
      <c r="AH33" s="169">
        <f>'ENGLISH UNITS '!BK38</f>
        <v>71.883224294962673</v>
      </c>
      <c r="AI33" s="169">
        <f>IF('ENGLISH UNITS '!BL38="out of range","out of range",'ENGLISH UNITS '!BL38*6.89474)</f>
        <v>50.253280313887011</v>
      </c>
      <c r="AJ33" s="169">
        <f>IF('ENGLISH UNITS '!BM38="out of range","out of range",'ENGLISH UNITS '!BM38*6.89474)</f>
        <v>1361.9713211361377</v>
      </c>
      <c r="AK33" s="169">
        <f>IF('ENGLISH UNITS '!BN38="out of range","out of range",'ENGLISH UNITS '!BN38*6.89474)</f>
        <v>1.7786546753681221</v>
      </c>
      <c r="AL33" s="169">
        <f>IF('ENGLISH UNITS '!BO38="out of range","out of range",'ENGLISH UNITS '!BO38*6.89474)</f>
        <v>43.428594198222278</v>
      </c>
    </row>
    <row r="34" spans="1:38" x14ac:dyDescent="0.3">
      <c r="B34" s="62"/>
      <c r="C34" s="54"/>
      <c r="D34" s="54"/>
      <c r="E34" s="216"/>
      <c r="F34" s="504"/>
      <c r="G34" s="505"/>
      <c r="H34" s="326"/>
      <c r="I34" s="217" t="s">
        <v>463</v>
      </c>
      <c r="J34" s="217"/>
      <c r="K34" s="382">
        <f>'ENGLISH UNITS '!K39</f>
        <v>1</v>
      </c>
      <c r="L34" s="54"/>
      <c r="M34" s="141"/>
      <c r="N34" s="54"/>
      <c r="O34" s="54"/>
      <c r="P34" s="166">
        <f>'ENGLISH UNITS '!AS39/3.28084</f>
        <v>137.15999561088015</v>
      </c>
      <c r="Q34" s="167">
        <v>50</v>
      </c>
      <c r="R34" s="168">
        <f>'ENGLISH UNITS '!AU39/2.5208</f>
        <v>8.2859210374712386</v>
      </c>
      <c r="S34" s="169">
        <f>'ENGLISH UNITS '!AV39</f>
        <v>280.24783458308133</v>
      </c>
      <c r="T34" s="169">
        <f>IF('ENGLISH UNITS '!AW39="Out of Range","Out of Range",'ENGLISH UNITS '!AW39*6.89474)</f>
        <v>19.402682873526405</v>
      </c>
      <c r="U34" s="169">
        <f>IF('ENGLISH UNITS '!AX39="out of range","out of range",'ENGLISH UNITS '!AX39*6.89474)</f>
        <v>614.10611739498222</v>
      </c>
      <c r="V34" s="169">
        <f>'ENGLISH UNITS '!AY39</f>
        <v>74.698718011261363</v>
      </c>
      <c r="W34" s="169">
        <f>IF('ENGLISH UNITS '!AZ39="out of range","out of range",'ENGLISH UNITS '!AZ39*6.89474)</f>
        <v>41.684209026344313</v>
      </c>
      <c r="X34" s="169">
        <f>IF('ENGLISH UNITS '!BA39="out of range","out of range",'ENGLISH UNITS '!BA39*6.89474)</f>
        <v>1200.206927693624</v>
      </c>
      <c r="Y34" s="169">
        <f>IF('ENGLISH UNITS '!BB39="out of range","out of range",'ENGLISH UNITS '!BB39*6.89474)</f>
        <v>1.2454908895125982</v>
      </c>
      <c r="Z34" s="169">
        <f>IF('ENGLISH UNITS '!BC39="out of range","out of range",'ENGLISH UNITS '!BC39*6.89474)</f>
        <v>33.570622903912835</v>
      </c>
      <c r="AB34" s="166">
        <f>'ENGLISH UNITS '!BE39/3.28084</f>
        <v>137.15999561088015</v>
      </c>
      <c r="AC34" s="168">
        <f>'ENGLISH UNITS '!BF39/2.5208</f>
        <v>8.2859210374712386</v>
      </c>
      <c r="AD34" s="166">
        <f>'ENGLISH UNITS '!BG39/3.28084</f>
        <v>137.15999561088015</v>
      </c>
      <c r="AE34" s="169">
        <f>'ENGLISH UNITS '!BH39</f>
        <v>280.24783458308133</v>
      </c>
      <c r="AF34" s="169">
        <f>IF('ENGLISH UNITS '!BI39="out of range","out of range",'ENGLISH UNITS '!BI39*6.89474)</f>
        <v>19.402682873526405</v>
      </c>
      <c r="AG34" s="169">
        <f>IF('ENGLISH UNITS '!BJ39="out of range","out of range",'ENGLISH UNITS '!BJ39*6.89474)</f>
        <v>614.10611739498222</v>
      </c>
      <c r="AH34" s="169">
        <f>'ENGLISH UNITS '!BK39</f>
        <v>74.698718011261363</v>
      </c>
      <c r="AI34" s="169">
        <f>IF('ENGLISH UNITS '!BL39="out of range","out of range",'ENGLISH UNITS '!BL39*6.89474)</f>
        <v>41.684209026344313</v>
      </c>
      <c r="AJ34" s="169">
        <f>IF('ENGLISH UNITS '!BM39="out of range","out of range",'ENGLISH UNITS '!BM39*6.89474)</f>
        <v>1200.206927693624</v>
      </c>
      <c r="AK34" s="169">
        <f>IF('ENGLISH UNITS '!BN39="out of range","out of range",'ENGLISH UNITS '!BN39*6.89474)</f>
        <v>1.2454908895125982</v>
      </c>
      <c r="AL34" s="169">
        <f>IF('ENGLISH UNITS '!BO39="out of range","out of range",'ENGLISH UNITS '!BO39*6.89474)</f>
        <v>33.570622903912835</v>
      </c>
    </row>
    <row r="35" spans="1:38" x14ac:dyDescent="0.3">
      <c r="B35" s="62"/>
      <c r="C35" s="54" t="s">
        <v>456</v>
      </c>
      <c r="D35" s="54"/>
      <c r="E35" s="203">
        <f>'ENGLISH UNITS '!E40*6.89474</f>
        <v>343.47543692301787</v>
      </c>
      <c r="F35" s="504">
        <f>'ENGLISH UNITS '!F40*6.89474</f>
        <v>343.47543692301787</v>
      </c>
      <c r="G35" s="505"/>
      <c r="H35" s="329"/>
      <c r="I35" s="66" t="s">
        <v>25</v>
      </c>
      <c r="J35" s="66"/>
      <c r="K35" s="436"/>
      <c r="L35" s="54"/>
      <c r="M35" s="141"/>
      <c r="N35" s="54"/>
      <c r="O35" s="54"/>
      <c r="P35" s="166">
        <f>'ENGLISH UNITS '!AS40/3.28084</f>
        <v>152.39999512320017</v>
      </c>
      <c r="Q35" s="167">
        <v>50</v>
      </c>
      <c r="R35" s="168">
        <f>'ENGLISH UNITS '!AU40/2.5208</f>
        <v>9.2065789305235999</v>
      </c>
      <c r="S35" s="169">
        <f>'ENGLISH UNITS '!AV40</f>
        <v>321.84701923748815</v>
      </c>
      <c r="T35" s="169">
        <f>IF('ENGLISH UNITS '!AW40="Out of Range","Out of Range",'ENGLISH UNITS '!AW40*6.89474)</f>
        <v>16.698571901141847</v>
      </c>
      <c r="U35" s="169">
        <f>IF('ENGLISH UNITS '!AX40="out of range","out of range",'ENGLISH UNITS '!AX40*6.89474)</f>
        <v>555.72299468472193</v>
      </c>
      <c r="V35" s="169">
        <f>'ENGLISH UNITS '!AY40</f>
        <v>77.298220073375902</v>
      </c>
      <c r="W35" s="169">
        <f>IF('ENGLISH UNITS '!AZ40="out of range","out of range",'ENGLISH UNITS '!AZ40*6.89474)</f>
        <v>35.53694388087262</v>
      </c>
      <c r="X35" s="169">
        <f>IF('ENGLISH UNITS '!BA40="out of range","out of range",'ENGLISH UNITS '!BA40*6.89474)</f>
        <v>1072.6094907551903</v>
      </c>
      <c r="Y35" s="169">
        <f>IF('ENGLISH UNITS '!BB40="out of range","out of range",'ENGLISH UNITS '!BB40*6.89474)</f>
        <v>0.9185150283614899</v>
      </c>
      <c r="Z35" s="169">
        <f>IF('ENGLISH UNITS '!BC40="out of range","out of range",'ENGLISH UNITS '!BC40*6.89474)</f>
        <v>26.66825485789661</v>
      </c>
      <c r="AB35" s="166">
        <f>'ENGLISH UNITS '!BE40/3.28084</f>
        <v>152.39999512320017</v>
      </c>
      <c r="AC35" s="168">
        <f>'ENGLISH UNITS '!BF40/2.5208</f>
        <v>9.2065789305235999</v>
      </c>
      <c r="AD35" s="166">
        <f>'ENGLISH UNITS '!BG40/3.28084</f>
        <v>152.39999512320017</v>
      </c>
      <c r="AE35" s="169">
        <f>'ENGLISH UNITS '!BH40</f>
        <v>321.84701923748815</v>
      </c>
      <c r="AF35" s="169">
        <f>IF('ENGLISH UNITS '!BI40="out of range","out of range",'ENGLISH UNITS '!BI40*6.89474)</f>
        <v>16.698571901141847</v>
      </c>
      <c r="AG35" s="169">
        <f>IF('ENGLISH UNITS '!BJ40="out of range","out of range",'ENGLISH UNITS '!BJ40*6.89474)</f>
        <v>555.72299468472193</v>
      </c>
      <c r="AH35" s="169">
        <f>'ENGLISH UNITS '!BK40</f>
        <v>77.298220073375902</v>
      </c>
      <c r="AI35" s="169">
        <f>IF('ENGLISH UNITS '!BL40="out of range","out of range",'ENGLISH UNITS '!BL40*6.89474)</f>
        <v>35.53694388087262</v>
      </c>
      <c r="AJ35" s="169">
        <f>IF('ENGLISH UNITS '!BM40="out of range","out of range",'ENGLISH UNITS '!BM40*6.89474)</f>
        <v>1072.6094907551903</v>
      </c>
      <c r="AK35" s="169">
        <f>IF('ENGLISH UNITS '!BN40="out of range","out of range",'ENGLISH UNITS '!BN40*6.89474)</f>
        <v>0.9185150283614899</v>
      </c>
      <c r="AL35" s="169">
        <f>IF('ENGLISH UNITS '!BO40="out of range","out of range",'ENGLISH UNITS '!BO40*6.89474)</f>
        <v>26.66825485789661</v>
      </c>
    </row>
    <row r="36" spans="1:38" x14ac:dyDescent="0.3">
      <c r="B36" s="62"/>
      <c r="C36" s="54" t="s">
        <v>288</v>
      </c>
      <c r="D36" s="54"/>
      <c r="E36" s="203">
        <f>'ENGLISH UNITS '!E41</f>
        <v>204.69715582078172</v>
      </c>
      <c r="F36" s="504">
        <f>'ENGLISH UNITS '!F41</f>
        <v>204.69715582078172</v>
      </c>
      <c r="G36" s="505"/>
      <c r="H36" s="330"/>
      <c r="J36" s="209"/>
      <c r="K36" s="431"/>
      <c r="L36" s="54"/>
      <c r="M36" s="141"/>
      <c r="N36" s="54"/>
      <c r="O36" s="54"/>
      <c r="P36" s="166">
        <f>'ENGLISH UNITS '!AS41/3.28084</f>
        <v>167.63999463552017</v>
      </c>
      <c r="Q36" s="167">
        <v>50</v>
      </c>
      <c r="R36" s="168">
        <f>'ENGLISH UNITS '!AU41/2.5208</f>
        <v>10.127236823575959</v>
      </c>
      <c r="S36" s="169">
        <f>'ENGLISH UNITS '!AV41</f>
        <v>363.72991130201814</v>
      </c>
      <c r="T36" s="169">
        <f>IF('ENGLISH UNITS '!AW41="Out of Range","Out of Range",'ENGLISH UNITS '!AW41*6.89474)</f>
        <v>14.63713675270351</v>
      </c>
      <c r="U36" s="169">
        <f>IF('ENGLISH UNITS '!AX41="out of range","out of range",'ENGLISH UNITS '!AX41*6.89474)</f>
        <v>507.48845599531489</v>
      </c>
      <c r="V36" s="169">
        <f>'ENGLISH UNITS '!AY41</f>
        <v>79.726251168206389</v>
      </c>
      <c r="W36" s="169">
        <f>IF('ENGLISH UNITS '!AZ41="out of range","out of range",'ENGLISH UNITS '!AZ41*6.89474)</f>
        <v>30.923655792042183</v>
      </c>
      <c r="X36" s="169">
        <f>IF('ENGLISH UNITS '!BA41="out of range","out of range",'ENGLISH UNITS '!BA41*6.89474)</f>
        <v>969.39914364503932</v>
      </c>
      <c r="Y36" s="169">
        <f>IF('ENGLISH UNITS '!BB41="out of range","out of range",'ENGLISH UNITS '!BB41*6.89474)</f>
        <v>0.70523651865249659</v>
      </c>
      <c r="Z36" s="169">
        <f>IF('ENGLISH UNITS '!BC41="out of range","out of range",'ENGLISH UNITS '!BC41*6.89474)</f>
        <v>21.645148446799222</v>
      </c>
      <c r="AB36" s="166">
        <f>'ENGLISH UNITS '!BE41/3.28084</f>
        <v>167.63999463552017</v>
      </c>
      <c r="AC36" s="168">
        <f>'ENGLISH UNITS '!BF41/2.5208</f>
        <v>10.127236823575959</v>
      </c>
      <c r="AD36" s="166">
        <f>'ENGLISH UNITS '!BG41/3.28084</f>
        <v>167.63999463552017</v>
      </c>
      <c r="AE36" s="169">
        <f>'ENGLISH UNITS '!BH41</f>
        <v>363.72991130201814</v>
      </c>
      <c r="AF36" s="169">
        <f>IF('ENGLISH UNITS '!BI41="out of range","out of range",'ENGLISH UNITS '!BI41*6.89474)</f>
        <v>14.63713675270351</v>
      </c>
      <c r="AG36" s="169">
        <f>IF('ENGLISH UNITS '!BJ41="out of range","out of range",'ENGLISH UNITS '!BJ41*6.89474)</f>
        <v>507.48845599531489</v>
      </c>
      <c r="AH36" s="169">
        <f>'ENGLISH UNITS '!BK41</f>
        <v>79.726251168206389</v>
      </c>
      <c r="AI36" s="169">
        <f>IF('ENGLISH UNITS '!BL41="out of range","out of range",'ENGLISH UNITS '!BL41*6.89474)</f>
        <v>30.923655792042183</v>
      </c>
      <c r="AJ36" s="169">
        <f>IF('ENGLISH UNITS '!BM41="out of range","out of range",'ENGLISH UNITS '!BM41*6.89474)</f>
        <v>969.39914364503932</v>
      </c>
      <c r="AK36" s="169">
        <f>IF('ENGLISH UNITS '!BN41="out of range","out of range",'ENGLISH UNITS '!BN41*6.89474)</f>
        <v>0.70523651865249659</v>
      </c>
      <c r="AL36" s="169">
        <f>IF('ENGLISH UNITS '!BO41="out of range","out of range",'ENGLISH UNITS '!BO41*6.89474)</f>
        <v>21.645148446799222</v>
      </c>
    </row>
    <row r="37" spans="1:38" ht="18.600000000000001" x14ac:dyDescent="0.3">
      <c r="A37" s="54"/>
      <c r="B37" s="62"/>
      <c r="C37" s="54"/>
      <c r="D37" s="54"/>
      <c r="E37" s="211"/>
      <c r="F37" s="504"/>
      <c r="G37" s="505"/>
      <c r="H37" s="329"/>
      <c r="I37" s="66" t="s">
        <v>464</v>
      </c>
      <c r="J37" s="66"/>
      <c r="K37" s="382"/>
      <c r="L37" s="54"/>
      <c r="M37" s="141"/>
      <c r="N37" s="54"/>
      <c r="O37" s="54"/>
      <c r="P37" s="166">
        <f>'ENGLISH UNITS '!AS42/3.28084</f>
        <v>182.87999414784019</v>
      </c>
      <c r="Q37" s="167">
        <v>50</v>
      </c>
      <c r="R37" s="168">
        <f>'ENGLISH UNITS '!AU42/2.5208</f>
        <v>11.047894716628319</v>
      </c>
      <c r="S37" s="169">
        <f>'ENGLISH UNITS '!AV42</f>
        <v>405.84200534116206</v>
      </c>
      <c r="T37" s="169">
        <f>IF('ENGLISH UNITS '!AW42="Out of Range","Out of Range",'ENGLISH UNITS '!AW42*6.89474)</f>
        <v>13.01620164643983</v>
      </c>
      <c r="U37" s="169">
        <f>IF('ENGLISH UNITS '!AX42="out of range","out of range",'ENGLISH UNITS '!AX42*6.89474)</f>
        <v>466.97171964984426</v>
      </c>
      <c r="V37" s="169">
        <f>'ENGLISH UNITS '!AY42</f>
        <v>82.007090834189739</v>
      </c>
      <c r="W37" s="169">
        <f>IF('ENGLISH UNITS '!AZ42="out of range","out of range",'ENGLISH UNITS '!AZ42*6.89474)</f>
        <v>27.337560921359724</v>
      </c>
      <c r="X37" s="169">
        <f>IF('ENGLISH UNITS '!BA42="out of range","out of range",'ENGLISH UNITS '!BA42*6.89474)</f>
        <v>884.19676140595607</v>
      </c>
      <c r="Y37" s="169">
        <f>IF('ENGLISH UNITS '!BB42="out of range","out of range",'ENGLISH UNITS '!BB42*6.89474)</f>
        <v>0.55900319878147087</v>
      </c>
      <c r="Z37" s="169">
        <f>IF('ENGLISH UNITS '!BC42="out of range","out of range",'ENGLISH UNITS '!BC42*6.89474)</f>
        <v>17.882140916756544</v>
      </c>
      <c r="AB37" s="166">
        <f>'ENGLISH UNITS '!BE42/3.28084</f>
        <v>182.87999414784019</v>
      </c>
      <c r="AC37" s="168">
        <f>'ENGLISH UNITS '!BF42/2.5208</f>
        <v>11.047894716628319</v>
      </c>
      <c r="AD37" s="166">
        <f>'ENGLISH UNITS '!BG42/3.28084</f>
        <v>182.87999414784019</v>
      </c>
      <c r="AE37" s="169">
        <f>'ENGLISH UNITS '!BH42</f>
        <v>405.84200534116206</v>
      </c>
      <c r="AF37" s="169">
        <f>IF('ENGLISH UNITS '!BI42="out of range","out of range",'ENGLISH UNITS '!BI42*6.89474)</f>
        <v>13.01620164643983</v>
      </c>
      <c r="AG37" s="169">
        <f>IF('ENGLISH UNITS '!BJ42="out of range","out of range",'ENGLISH UNITS '!BJ42*6.89474)</f>
        <v>466.97171964984426</v>
      </c>
      <c r="AH37" s="169">
        <f>'ENGLISH UNITS '!BK42</f>
        <v>82.007090834189739</v>
      </c>
      <c r="AI37" s="169">
        <f>IF('ENGLISH UNITS '!BL42="out of range","out of range",'ENGLISH UNITS '!BL42*6.89474)</f>
        <v>27.337560921359724</v>
      </c>
      <c r="AJ37" s="169">
        <f>IF('ENGLISH UNITS '!BM42="out of range","out of range",'ENGLISH UNITS '!BM42*6.89474)</f>
        <v>884.19676140595607</v>
      </c>
      <c r="AK37" s="169">
        <f>IF('ENGLISH UNITS '!BN42="out of range","out of range",'ENGLISH UNITS '!BN42*6.89474)</f>
        <v>0.55900319878147087</v>
      </c>
      <c r="AL37" s="169">
        <f>IF('ENGLISH UNITS '!BO42="out of range","out of range",'ENGLISH UNITS '!BO42*6.89474)</f>
        <v>17.882140916756544</v>
      </c>
    </row>
    <row r="38" spans="1:38" x14ac:dyDescent="0.3">
      <c r="B38" s="62"/>
      <c r="C38" s="54" t="s">
        <v>457</v>
      </c>
      <c r="D38" s="54"/>
      <c r="E38" s="203">
        <f>'ENGLISH UNITS '!E43*6.89474</f>
        <v>1358.1368127541573</v>
      </c>
      <c r="F38" s="504">
        <f>'ENGLISH UNITS '!F43*6.89474</f>
        <v>1358.1368127541573</v>
      </c>
      <c r="G38" s="505"/>
      <c r="H38" s="329"/>
      <c r="I38" s="217" t="s">
        <v>465</v>
      </c>
      <c r="J38" s="217"/>
      <c r="K38" s="382">
        <f>'ENGLISH UNITS '!K43</f>
        <v>1</v>
      </c>
      <c r="L38" s="54"/>
      <c r="M38" s="141"/>
      <c r="N38" s="54"/>
      <c r="O38" s="54"/>
      <c r="P38" s="166">
        <f>'ENGLISH UNITS '!AS43/3.28084</f>
        <v>198.11999366016019</v>
      </c>
      <c r="Q38" s="167">
        <v>50</v>
      </c>
      <c r="R38" s="168">
        <f>'ENGLISH UNITS '!AU43/2.5208</f>
        <v>11.968552609680678</v>
      </c>
      <c r="S38" s="169">
        <f>'ENGLISH UNITS '!AV43</f>
        <v>448.15218437155431</v>
      </c>
      <c r="T38" s="169">
        <f>IF('ENGLISH UNITS '!AW43="Out of Range","Out of Range",'ENGLISH UNITS '!AW43*6.89474)</f>
        <v>11.709059643120474</v>
      </c>
      <c r="U38" s="169">
        <f>IF('ENGLISH UNITS '!AX43="out of range","out of range",'ENGLISH UNITS '!AX43*6.89474)</f>
        <v>432.45790855092849</v>
      </c>
      <c r="V38" s="169">
        <f>'ENGLISH UNITS '!AY43</f>
        <v>84.155495512239682</v>
      </c>
      <c r="W38" s="169">
        <f>IF('ENGLISH UNITS '!AZ43="out of range","out of range",'ENGLISH UNITS '!AZ43*6.89474)</f>
        <v>24.470646631036072</v>
      </c>
      <c r="X38" s="169">
        <f>IF('ENGLISH UNITS '!BA43="out of range","out of range",'ENGLISH UNITS '!BA43*6.89474)</f>
        <v>812.66650389619269</v>
      </c>
      <c r="Y38" s="169">
        <f>IF('ENGLISH UNITS '!BB43="out of range","out of range",'ENGLISH UNITS '!BB43*6.89474)</f>
        <v>0.45453170916054864</v>
      </c>
      <c r="Z38" s="169">
        <f>IF('ENGLISH UNITS '!BC43="out of range","out of range",'ENGLISH UNITS '!BC43*6.89474)</f>
        <v>14.997994215637762</v>
      </c>
      <c r="AB38" s="166">
        <f>'ENGLISH UNITS '!BE43/3.28084</f>
        <v>198.11999366016019</v>
      </c>
      <c r="AC38" s="168">
        <f>'ENGLISH UNITS '!BF43/2.5208</f>
        <v>11.968552609680678</v>
      </c>
      <c r="AD38" s="166">
        <f>'ENGLISH UNITS '!BG43/3.28084</f>
        <v>198.11999366016019</v>
      </c>
      <c r="AE38" s="169">
        <f>'ENGLISH UNITS '!BH43</f>
        <v>448.15218437155431</v>
      </c>
      <c r="AF38" s="169">
        <f>IF('ENGLISH UNITS '!BI43="out of range","out of range",'ENGLISH UNITS '!BI43*6.89474)</f>
        <v>11.709059643120474</v>
      </c>
      <c r="AG38" s="169">
        <f>IF('ENGLISH UNITS '!BJ43="out of range","out of range",'ENGLISH UNITS '!BJ43*6.89474)</f>
        <v>432.45790855092849</v>
      </c>
      <c r="AH38" s="169">
        <f>'ENGLISH UNITS '!BK43</f>
        <v>84.155495512239682</v>
      </c>
      <c r="AI38" s="169">
        <f>IF('ENGLISH UNITS '!BL43="out of range","out of range",'ENGLISH UNITS '!BL43*6.89474)</f>
        <v>24.470646631036072</v>
      </c>
      <c r="AJ38" s="169">
        <f>IF('ENGLISH UNITS '!BM43="out of range","out of range",'ENGLISH UNITS '!BM43*6.89474)</f>
        <v>812.66650389619269</v>
      </c>
      <c r="AK38" s="169">
        <f>IF('ENGLISH UNITS '!BN43="out of range","out of range",'ENGLISH UNITS '!BN43*6.89474)</f>
        <v>0.45453170916054864</v>
      </c>
      <c r="AL38" s="169">
        <f>IF('ENGLISH UNITS '!BO43="out of range","out of range",'ENGLISH UNITS '!BO43*6.89474)</f>
        <v>14.997994215637762</v>
      </c>
    </row>
    <row r="39" spans="1:38" x14ac:dyDescent="0.3">
      <c r="B39" s="62"/>
      <c r="C39" s="54"/>
      <c r="D39" s="54"/>
      <c r="E39" s="203"/>
      <c r="F39" s="504"/>
      <c r="G39" s="505"/>
      <c r="H39" s="329"/>
      <c r="I39" s="66" t="s">
        <v>25</v>
      </c>
      <c r="J39" s="66"/>
      <c r="K39" s="436"/>
      <c r="L39" s="54"/>
      <c r="M39" s="141"/>
      <c r="N39" s="54"/>
      <c r="O39" s="54"/>
      <c r="P39" s="166">
        <f>'ENGLISH UNITS '!AS44/3.28084</f>
        <v>213.35999317248022</v>
      </c>
      <c r="Q39" s="167">
        <v>50</v>
      </c>
      <c r="R39" s="168">
        <f>'ENGLISH UNITS '!AU44/2.5208</f>
        <v>12.889210502733038</v>
      </c>
      <c r="S39" s="169">
        <f>'ENGLISH UNITS '!AV44</f>
        <v>490.64264525541046</v>
      </c>
      <c r="T39" s="169">
        <f>IF('ENGLISH UNITS '!AW44="Out of Range","Out of Range",'ENGLISH UNITS '!AW44*6.89474)</f>
        <v>10.632689363960651</v>
      </c>
      <c r="U39" s="169">
        <f>IF('ENGLISH UNITS '!AX44="out of range","out of range",'ENGLISH UNITS '!AX44*6.89474)</f>
        <v>402.7034906283194</v>
      </c>
      <c r="V39" s="169">
        <f>'ENGLISH UNITS '!AY44</f>
        <v>86.181706298697293</v>
      </c>
      <c r="W39" s="169">
        <f>IF('ENGLISH UNITS '!AZ44="out of range","out of range",'ENGLISH UNITS '!AZ44*6.89474)</f>
        <v>22.125904695734697</v>
      </c>
      <c r="X39" s="169">
        <f>IF('ENGLISH UNITS '!BA44="out of range","out of range",'ENGLISH UNITS '!BA44*6.89474)</f>
        <v>751.75958429845684</v>
      </c>
      <c r="Y39" s="169">
        <f>IF('ENGLISH UNITS '!BB44="out of range","out of range",'ENGLISH UNITS '!BB44*6.89474)</f>
        <v>0.3772850483894275</v>
      </c>
      <c r="Z39" s="169">
        <f>IF('ENGLISH UNITS '!BC44="out of range","out of range",'ENGLISH UNITS '!BC44*6.89474)</f>
        <v>12.745482436937468</v>
      </c>
      <c r="AB39" s="166">
        <f>'ENGLISH UNITS '!BE44/3.28084</f>
        <v>213.35999317248022</v>
      </c>
      <c r="AC39" s="168">
        <f>'ENGLISH UNITS '!BF44/2.5208</f>
        <v>12.889210502733038</v>
      </c>
      <c r="AD39" s="166">
        <f>'ENGLISH UNITS '!BG44/3.28084</f>
        <v>213.35999317248022</v>
      </c>
      <c r="AE39" s="169">
        <f>'ENGLISH UNITS '!BH44</f>
        <v>490.64264525541046</v>
      </c>
      <c r="AF39" s="169">
        <f>IF('ENGLISH UNITS '!BI44="out of range","out of range",'ENGLISH UNITS '!BI44*6.89474)</f>
        <v>10.632689363960651</v>
      </c>
      <c r="AG39" s="169">
        <f>IF('ENGLISH UNITS '!BJ44="out of range","out of range",'ENGLISH UNITS '!BJ44*6.89474)</f>
        <v>402.7034906283194</v>
      </c>
      <c r="AH39" s="169">
        <f>'ENGLISH UNITS '!BK44</f>
        <v>86.181706298697293</v>
      </c>
      <c r="AI39" s="169">
        <f>IF('ENGLISH UNITS '!BL44="out of range","out of range",'ENGLISH UNITS '!BL44*6.89474)</f>
        <v>22.125904695734697</v>
      </c>
      <c r="AJ39" s="169">
        <f>IF('ENGLISH UNITS '!BM44="out of range","out of range",'ENGLISH UNITS '!BM44*6.89474)</f>
        <v>751.75958429845684</v>
      </c>
      <c r="AK39" s="169">
        <f>IF('ENGLISH UNITS '!BN44="out of range","out of range",'ENGLISH UNITS '!BN44*6.89474)</f>
        <v>0.3772850483894275</v>
      </c>
      <c r="AL39" s="169">
        <f>IF('ENGLISH UNITS '!BO44="out of range","out of range",'ENGLISH UNITS '!BO44*6.89474)</f>
        <v>12.745482436937468</v>
      </c>
    </row>
    <row r="40" spans="1:38" x14ac:dyDescent="0.3">
      <c r="B40" s="62"/>
      <c r="C40" s="54" t="s">
        <v>20</v>
      </c>
      <c r="D40" s="54"/>
      <c r="E40" s="203">
        <f>'ENGLISH UNITS '!E45</f>
        <v>33.808580266982318</v>
      </c>
      <c r="F40" s="504">
        <f>'ENGLISH UNITS '!F45</f>
        <v>33.808580266982318</v>
      </c>
      <c r="G40" s="505"/>
      <c r="H40" s="329"/>
      <c r="J40" s="209"/>
      <c r="K40" s="431"/>
      <c r="L40" s="54"/>
      <c r="M40" s="141"/>
      <c r="N40" s="54"/>
      <c r="O40" s="54"/>
      <c r="P40" s="166">
        <f>'ENGLISH UNITS '!AS45/3.28084</f>
        <v>243.83999219712024</v>
      </c>
      <c r="Q40" s="167">
        <v>50</v>
      </c>
      <c r="R40" s="168">
        <f>'ENGLISH UNITS '!AU45/2.5208</f>
        <v>14.730526288837758</v>
      </c>
      <c r="S40" s="169">
        <f>'ENGLISH UNITS '!AV45</f>
        <v>576.12595612536052</v>
      </c>
      <c r="T40" s="169">
        <f>IF('ENGLISH UNITS '!AW45="Out of Range","Out of Range",'ENGLISH UNITS '!AW45*6.89474)</f>
        <v>8.9633157041118139</v>
      </c>
      <c r="U40" s="169">
        <f>IF('ENGLISH UNITS '!AX45="out of range","out of range",'ENGLISH UNITS '!AX45*6.89474)</f>
        <v>354.00377802049417</v>
      </c>
      <c r="V40" s="169">
        <f>'ENGLISH UNITS '!AY45</f>
        <v>89.899002212463472</v>
      </c>
      <c r="W40" s="169">
        <f>IF('ENGLISH UNITS '!AZ45="out of range","out of range",'ENGLISH UNITS '!AZ45*6.89474)</f>
        <v>18.517706016198865</v>
      </c>
      <c r="X40" s="169">
        <f>IF('ENGLISH UNITS '!BA45="out of range","out of range",'ENGLISH UNITS '!BA45*6.89474)</f>
        <v>653.56383225914556</v>
      </c>
      <c r="Y40" s="169">
        <f>IF('ENGLISH UNITS '!BB45="out of range","out of range",'ENGLISH UNITS '!BB45*6.89474)</f>
        <v>0.27258878522274205</v>
      </c>
      <c r="Z40" s="169">
        <f>IF('ENGLISH UNITS '!BC45="out of range","out of range",'ENGLISH UNITS '!BC45*6.89474)</f>
        <v>9.5187455712865816</v>
      </c>
      <c r="AB40" s="166">
        <f>'ENGLISH UNITS '!BE45/3.28084</f>
        <v>243.83999219712024</v>
      </c>
      <c r="AC40" s="168">
        <f>'ENGLISH UNITS '!BF45/2.5208</f>
        <v>14.730526288837758</v>
      </c>
      <c r="AD40" s="166">
        <f>'ENGLISH UNITS '!BG45/3.28084</f>
        <v>243.83999219712024</v>
      </c>
      <c r="AE40" s="169">
        <f>'ENGLISH UNITS '!BH45</f>
        <v>576.12595612536052</v>
      </c>
      <c r="AF40" s="169">
        <f>IF('ENGLISH UNITS '!BI45="out of range","out of range",'ENGLISH UNITS '!BI45*6.89474)</f>
        <v>8.9633157041118139</v>
      </c>
      <c r="AG40" s="169">
        <f>IF('ENGLISH UNITS '!BJ45="out of range","out of range",'ENGLISH UNITS '!BJ45*6.89474)</f>
        <v>354.00377802049417</v>
      </c>
      <c r="AH40" s="169">
        <f>'ENGLISH UNITS '!BK45</f>
        <v>89.899002212463472</v>
      </c>
      <c r="AI40" s="169">
        <f>IF('ENGLISH UNITS '!BL45="out of range","out of range",'ENGLISH UNITS '!BL45*6.89474)</f>
        <v>18.517706016198865</v>
      </c>
      <c r="AJ40" s="169">
        <f>IF('ENGLISH UNITS '!BM45="out of range","out of range",'ENGLISH UNITS '!BM45*6.89474)</f>
        <v>653.56383225914556</v>
      </c>
      <c r="AK40" s="169">
        <f>IF('ENGLISH UNITS '!BN45="out of range","out of range",'ENGLISH UNITS '!BN45*6.89474)</f>
        <v>0.27258878522274205</v>
      </c>
      <c r="AL40" s="169">
        <f>IF('ENGLISH UNITS '!BO45="out of range","out of range",'ENGLISH UNITS '!BO45*6.89474)</f>
        <v>9.5187455712865816</v>
      </c>
    </row>
    <row r="41" spans="1:38" ht="18.600000000000001" x14ac:dyDescent="0.3">
      <c r="B41" s="62"/>
      <c r="C41" s="54" t="s">
        <v>240</v>
      </c>
      <c r="D41" s="54"/>
      <c r="E41" s="211"/>
      <c r="F41" s="504"/>
      <c r="G41" s="505"/>
      <c r="H41" s="329"/>
      <c r="I41" s="84" t="s">
        <v>466</v>
      </c>
      <c r="J41" s="328"/>
      <c r="K41" s="431"/>
      <c r="L41" s="54"/>
      <c r="M41" s="141"/>
      <c r="N41" s="54"/>
      <c r="O41" s="54"/>
      <c r="P41" s="166">
        <f>'ENGLISH UNITS '!AS46/3.28084</f>
        <v>274.31999122176029</v>
      </c>
      <c r="Q41" s="167">
        <v>50</v>
      </c>
      <c r="R41" s="168">
        <f>'ENGLISH UNITS '!AU46/2.5208</f>
        <v>16.571842074942477</v>
      </c>
      <c r="S41" s="169">
        <f>'ENGLISH UNITS '!AV46</f>
        <v>662.23939647184727</v>
      </c>
      <c r="T41" s="169">
        <f>IF('ENGLISH UNITS '!AW46="Out of Range","Out of Range",'ENGLISH UNITS '!AW46*6.89474)</f>
        <v>7.7261734530028061</v>
      </c>
      <c r="U41" s="169">
        <f>IF('ENGLISH UNITS '!AX46="out of range","out of range",'ENGLISH UNITS '!AX46*6.89474)</f>
        <v>315.80999052380963</v>
      </c>
      <c r="V41" s="169">
        <f>'ENGLISH UNITS '!AY46</f>
        <v>93.214882651812488</v>
      </c>
      <c r="W41" s="169">
        <f>IF('ENGLISH UNITS '!AZ46="out of range","out of range",'ENGLISH UNITS '!AZ46*6.89474)</f>
        <v>15.867232920341088</v>
      </c>
      <c r="X41" s="169">
        <f>IF('ENGLISH UNITS '!BA46="out of range","out of range",'ENGLISH UNITS '!BA46*6.89474)</f>
        <v>577.83375023277767</v>
      </c>
      <c r="Y41" s="169">
        <f>IF('ENGLISH UNITS '!BB46="out of range","out of range",'ENGLISH UNITS '!BB46*6.89474)</f>
        <v>0.20626739287845311</v>
      </c>
      <c r="Z41" s="169">
        <f>IF('ENGLISH UNITS '!BC46="out of range","out of range",'ENGLISH UNITS '!BC46*6.89474)</f>
        <v>7.3777540584795398</v>
      </c>
      <c r="AB41" s="166">
        <f>'ENGLISH UNITS '!BE46/3.28084</f>
        <v>274.31999122176029</v>
      </c>
      <c r="AC41" s="168">
        <f>'ENGLISH UNITS '!BF46/2.5208</f>
        <v>16.571842074942477</v>
      </c>
      <c r="AD41" s="166">
        <f>'ENGLISH UNITS '!BG46/3.28084</f>
        <v>274.31999122176029</v>
      </c>
      <c r="AE41" s="169">
        <f>'ENGLISH UNITS '!BH46</f>
        <v>662.23939647184727</v>
      </c>
      <c r="AF41" s="169">
        <f>IF('ENGLISH UNITS '!BI46="out of range","out of range",'ENGLISH UNITS '!BI46*6.89474)</f>
        <v>7.7261734530028061</v>
      </c>
      <c r="AG41" s="169">
        <f>IF('ENGLISH UNITS '!BJ46="out of range","out of range",'ENGLISH UNITS '!BJ46*6.89474)</f>
        <v>315.80999052380963</v>
      </c>
      <c r="AH41" s="169">
        <f>'ENGLISH UNITS '!BK46</f>
        <v>93.214882651812488</v>
      </c>
      <c r="AI41" s="169">
        <f>IF('ENGLISH UNITS '!BL46="out of range","out of range",'ENGLISH UNITS '!BL46*6.89474)</f>
        <v>15.867232920341088</v>
      </c>
      <c r="AJ41" s="169">
        <f>IF('ENGLISH UNITS '!BM46="out of range","out of range",'ENGLISH UNITS '!BM46*6.89474)</f>
        <v>577.83375023277767</v>
      </c>
      <c r="AK41" s="169">
        <f>IF('ENGLISH UNITS '!BN46="out of range","out of range",'ENGLISH UNITS '!BN46*6.89474)</f>
        <v>0.20626739287845311</v>
      </c>
      <c r="AL41" s="169">
        <f>IF('ENGLISH UNITS '!BO46="out of range","out of range",'ENGLISH UNITS '!BO46*6.89474)</f>
        <v>7.3777540584795398</v>
      </c>
    </row>
    <row r="42" spans="1:38" x14ac:dyDescent="0.3">
      <c r="B42" s="62"/>
      <c r="C42" s="54"/>
      <c r="D42" s="54"/>
      <c r="E42" s="211"/>
      <c r="F42" s="504"/>
      <c r="G42" s="505"/>
      <c r="H42" s="329"/>
      <c r="I42" s="331" t="s">
        <v>467</v>
      </c>
      <c r="K42" s="382">
        <f>'ENGLISH UNITS '!K47</f>
        <v>1</v>
      </c>
      <c r="L42" s="54"/>
      <c r="M42" s="141"/>
      <c r="N42" s="54"/>
      <c r="O42" s="54"/>
      <c r="P42" s="166">
        <f>'ENGLISH UNITS '!AS47/3.28084</f>
        <v>304.79999024640034</v>
      </c>
      <c r="Q42" s="167">
        <v>50</v>
      </c>
      <c r="R42" s="168">
        <f>'ENGLISH UNITS '!AU47/2.5208</f>
        <v>18.4131578610472</v>
      </c>
      <c r="S42" s="169">
        <f>'ENGLISH UNITS '!AV47</f>
        <v>748.93816285154116</v>
      </c>
      <c r="T42" s="169">
        <f>IF('ENGLISH UNITS '!AW47="Out of Range","Out of Range",'ENGLISH UNITS '!AW47*6.89474)</f>
        <v>6.7699366147967401</v>
      </c>
      <c r="U42" s="169">
        <f>IF('ENGLISH UNITS '!AX47="out of range","out of range",'ENGLISH UNITS '!AX47*6.89474)</f>
        <v>285.03764279972609</v>
      </c>
      <c r="V42" s="169">
        <f>'ENGLISH UNITS '!AY47</f>
        <v>96.180411668292464</v>
      </c>
      <c r="W42" s="169">
        <f>IF('ENGLISH UNITS '!AZ47="out of range","out of range",'ENGLISH UNITS '!AZ47*6.89474)</f>
        <v>13.834348854506892</v>
      </c>
      <c r="X42" s="169">
        <f>IF('ENGLISH UNITS '!BA47="out of range","out of range",'ENGLISH UNITS '!BA47*6.89474)</f>
        <v>517.63808921793759</v>
      </c>
      <c r="Y42" s="169">
        <f>IF('ENGLISH UNITS '!BB47="out of range","out of range",'ENGLISH UNITS '!BB47*6.89474)</f>
        <v>0.16116557684646282</v>
      </c>
      <c r="Z42" s="169">
        <f>IF('ENGLISH UNITS '!BC47="out of range","out of range",'ENGLISH UNITS '!BC47*6.89474)</f>
        <v>5.8908534539026096</v>
      </c>
      <c r="AB42" s="166">
        <f>'ENGLISH UNITS '!BE47/3.28084</f>
        <v>304.79999024640034</v>
      </c>
      <c r="AC42" s="168">
        <f>'ENGLISH UNITS '!BF47/2.5208</f>
        <v>18.4131578610472</v>
      </c>
      <c r="AD42" s="166">
        <f>'ENGLISH UNITS '!BG47/3.28084</f>
        <v>304.79999024640034</v>
      </c>
      <c r="AE42" s="169">
        <f>'ENGLISH UNITS '!BH47</f>
        <v>748.93816285154116</v>
      </c>
      <c r="AF42" s="169">
        <f>IF('ENGLISH UNITS '!BI47="out of range","out of range",'ENGLISH UNITS '!BI47*6.89474)</f>
        <v>6.7699366147967401</v>
      </c>
      <c r="AG42" s="169">
        <f>IF('ENGLISH UNITS '!BJ47="out of range","out of range",'ENGLISH UNITS '!BJ47*6.89474)</f>
        <v>285.03764279972609</v>
      </c>
      <c r="AH42" s="169">
        <f>'ENGLISH UNITS '!BK47</f>
        <v>96.180411668292464</v>
      </c>
      <c r="AI42" s="169">
        <f>IF('ENGLISH UNITS '!BL47="out of range","out of range",'ENGLISH UNITS '!BL47*6.89474)</f>
        <v>13.834348854506892</v>
      </c>
      <c r="AJ42" s="169">
        <f>IF('ENGLISH UNITS '!BM47="out of range","out of range",'ENGLISH UNITS '!BM47*6.89474)</f>
        <v>517.63808921793759</v>
      </c>
      <c r="AK42" s="169">
        <f>IF('ENGLISH UNITS '!BN47="out of range","out of range",'ENGLISH UNITS '!BN47*6.89474)</f>
        <v>0.16116557684646282</v>
      </c>
      <c r="AL42" s="169">
        <f>IF('ENGLISH UNITS '!BO47="out of range","out of range",'ENGLISH UNITS '!BO47*6.89474)</f>
        <v>5.8908534539026096</v>
      </c>
    </row>
    <row r="43" spans="1:38" x14ac:dyDescent="0.3">
      <c r="B43" s="62"/>
      <c r="C43" s="54" t="s">
        <v>21</v>
      </c>
      <c r="D43" s="54"/>
      <c r="E43" s="203">
        <f>'ENGLISH UNITS '!E48*6.89474</f>
        <v>2411.979676736833</v>
      </c>
      <c r="F43" s="504">
        <f>'ENGLISH UNITS '!F48*6.89474</f>
        <v>2411.979676736833</v>
      </c>
      <c r="G43" s="505"/>
      <c r="H43" s="329"/>
      <c r="I43" s="84" t="s">
        <v>26</v>
      </c>
      <c r="K43" s="437"/>
      <c r="L43" s="54"/>
      <c r="M43" s="141"/>
      <c r="N43" s="54"/>
      <c r="O43" s="54"/>
      <c r="P43" s="166">
        <f>'ENGLISH UNITS '!AS48/3.28084</f>
        <v>365.75998829568039</v>
      </c>
      <c r="Q43" s="167">
        <v>50</v>
      </c>
      <c r="R43" s="168">
        <f>'ENGLISH UNITS '!AU48/2.5208</f>
        <v>22.095789433256638</v>
      </c>
      <c r="S43" s="169">
        <f>'ENGLISH UNITS '!AV48</f>
        <v>923.84226773835826</v>
      </c>
      <c r="T43" s="169">
        <f>IF('ENGLISH UNITS '!AW48="Out of Range","Out of Range",'ENGLISH UNITS '!AW48*6.89474)</f>
        <v>5.3814762851134335</v>
      </c>
      <c r="U43" s="169">
        <f>IF('ENGLISH UNITS '!AX48="out of range","out of range",'ENGLISH UNITS '!AX48*6.89474)</f>
        <v>238.46740118870517</v>
      </c>
      <c r="V43" s="169">
        <f>'ENGLISH UNITS '!AY48</f>
        <v>101.25342867255802</v>
      </c>
      <c r="W43" s="169">
        <f>IF('ENGLISH UNITS '!AZ48="out of range","out of range",'ENGLISH UNITS '!AZ48*6.89474)</f>
        <v>10.912718992595607</v>
      </c>
      <c r="X43" s="169">
        <f>IF('ENGLISH UNITS '!BA48="out of range","out of range",'ENGLISH UNITS '!BA48*6.89474)</f>
        <v>427.95436646484853</v>
      </c>
      <c r="Y43" s="169">
        <f>IF('ENGLISH UNITS '!BB48="out of range","out of range",'ENGLISH UNITS '!BB48*6.89474)</f>
        <v>0.10456551364679406</v>
      </c>
      <c r="Z43" s="169">
        <f>IF('ENGLISH UNITS '!BC48="out of range","out of range",'ENGLISH UNITS '!BC48*6.89474)</f>
        <v>4.0103941099042135</v>
      </c>
      <c r="AB43" s="166">
        <f>'ENGLISH UNITS '!BE48/3.28084</f>
        <v>365.75998829568039</v>
      </c>
      <c r="AC43" s="168">
        <f>'ENGLISH UNITS '!BF48/2.5208</f>
        <v>22.095789433256638</v>
      </c>
      <c r="AD43" s="166">
        <f>'ENGLISH UNITS '!BG48/3.28084</f>
        <v>365.75998829568039</v>
      </c>
      <c r="AE43" s="169">
        <f>'ENGLISH UNITS '!BH48</f>
        <v>923.84226773835826</v>
      </c>
      <c r="AF43" s="169">
        <f>IF('ENGLISH UNITS '!BI48="out of range","out of range",'ENGLISH UNITS '!BI48*6.89474)</f>
        <v>5.3814762851134335</v>
      </c>
      <c r="AG43" s="169">
        <f>IF('ENGLISH UNITS '!BJ48="out of range","out of range",'ENGLISH UNITS '!BJ48*6.89474)</f>
        <v>238.46740118870517</v>
      </c>
      <c r="AH43" s="169">
        <f>'ENGLISH UNITS '!BK48</f>
        <v>101.25342867255802</v>
      </c>
      <c r="AI43" s="169">
        <f>IF('ENGLISH UNITS '!BL48="out of range","out of range",'ENGLISH UNITS '!BL48*6.89474)</f>
        <v>10.912718992595607</v>
      </c>
      <c r="AJ43" s="169">
        <f>IF('ENGLISH UNITS '!BM48="out of range","out of range",'ENGLISH UNITS '!BM48*6.89474)</f>
        <v>427.95436646484853</v>
      </c>
      <c r="AK43" s="169">
        <f>IF('ENGLISH UNITS '!BN48="out of range","out of range",'ENGLISH UNITS '!BN48*6.89474)</f>
        <v>0.10456551364679406</v>
      </c>
      <c r="AL43" s="169">
        <f>IF('ENGLISH UNITS '!BO48="out of range","out of range",'ENGLISH UNITS '!BO48*6.89474)</f>
        <v>4.0103941099042135</v>
      </c>
    </row>
    <row r="44" spans="1:38" x14ac:dyDescent="0.3">
      <c r="B44" s="62"/>
      <c r="C44" s="54" t="s">
        <v>458</v>
      </c>
      <c r="D44" s="54"/>
      <c r="E44" s="211"/>
      <c r="F44" s="504"/>
      <c r="G44" s="505"/>
      <c r="H44" s="329"/>
      <c r="K44" s="431"/>
      <c r="L44" s="54"/>
      <c r="M44" s="141"/>
      <c r="N44" s="54"/>
      <c r="O44" s="54"/>
      <c r="P44" s="166">
        <f>'ENGLISH UNITS '!AS49/3.28084</f>
        <v>426.71998634496043</v>
      </c>
      <c r="Q44" s="167">
        <v>50</v>
      </c>
      <c r="R44" s="168">
        <f>'ENGLISH UNITS '!AU49/2.5208</f>
        <v>25.778421005466075</v>
      </c>
      <c r="S44" s="169">
        <f>'ENGLISH UNITS '!AV49</f>
        <v>1100.1667536664147</v>
      </c>
      <c r="T44" s="169">
        <f>IF('ENGLISH UNITS '!AW49="Out of Range","Out of Range",'ENGLISH UNITS '!AW49*6.89474)</f>
        <v>4.4050427652160478</v>
      </c>
      <c r="U44" s="169">
        <f>IF('ENGLISH UNITS '!AX49="out of range","out of range",'ENGLISH UNITS '!AX49*6.89474)</f>
        <v>204.84440332222184</v>
      </c>
      <c r="V44" s="169">
        <f>'ENGLISH UNITS '!AY49</f>
        <v>105.47505190531528</v>
      </c>
      <c r="W44" s="169">
        <f>IF('ENGLISH UNITS '!AZ49="out of range","out of range",'ENGLISH UNITS '!AZ49*6.89474)</f>
        <v>8.9052359466377222</v>
      </c>
      <c r="X44" s="169">
        <f>IF('ENGLISH UNITS '!BA49="out of range","out of range",'ENGLISH UNITS '!BA49*6.89474)</f>
        <v>364.30920781669209</v>
      </c>
      <c r="Y44" s="169">
        <f>IF('ENGLISH UNITS '!BB49="out of range","out of range",'ENGLISH UNITS '!BB49*6.89474)</f>
        <v>7.1039194978181258E-2</v>
      </c>
      <c r="Z44" s="169">
        <f>IF('ENGLISH UNITS '!BC49="out of range","out of range",'ENGLISH UNITS '!BC49*6.89474)</f>
        <v>2.8881127179797716</v>
      </c>
      <c r="AB44" s="166">
        <f>'ENGLISH UNITS '!BE49/3.28084</f>
        <v>426.71998634496043</v>
      </c>
      <c r="AC44" s="168">
        <f>'ENGLISH UNITS '!BF49/2.5208</f>
        <v>25.778421005466075</v>
      </c>
      <c r="AD44" s="166">
        <f>'ENGLISH UNITS '!BG49/3.28084</f>
        <v>426.71998634496043</v>
      </c>
      <c r="AE44" s="169">
        <f>'ENGLISH UNITS '!BH49</f>
        <v>1100.1667536664147</v>
      </c>
      <c r="AF44" s="169">
        <f>IF('ENGLISH UNITS '!BI49="out of range","out of range",'ENGLISH UNITS '!BI49*6.89474)</f>
        <v>4.4050427652160478</v>
      </c>
      <c r="AG44" s="169">
        <f>IF('ENGLISH UNITS '!BJ49="out of range","out of range",'ENGLISH UNITS '!BJ49*6.89474)</f>
        <v>204.84440332222184</v>
      </c>
      <c r="AH44" s="169">
        <f>'ENGLISH UNITS '!BK49</f>
        <v>105.47505190531528</v>
      </c>
      <c r="AI44" s="169">
        <f>IF('ENGLISH UNITS '!BL49="out of range","out of range",'ENGLISH UNITS '!BL49*6.89474)</f>
        <v>8.9052359466377222</v>
      </c>
      <c r="AJ44" s="169">
        <f>IF('ENGLISH UNITS '!BM49="out of range","out of range",'ENGLISH UNITS '!BM49*6.89474)</f>
        <v>364.30920781669209</v>
      </c>
      <c r="AK44" s="169">
        <f>IF('ENGLISH UNITS '!BN49="out of range","out of range",'ENGLISH UNITS '!BN49*6.89474)</f>
        <v>7.1039194978181258E-2</v>
      </c>
      <c r="AL44" s="169">
        <f>IF('ENGLISH UNITS '!BO49="out of range","out of range",'ENGLISH UNITS '!BO49*6.89474)</f>
        <v>2.8881127179797716</v>
      </c>
    </row>
    <row r="45" spans="1:38" ht="19.5" customHeight="1" x14ac:dyDescent="0.3">
      <c r="B45" s="62"/>
      <c r="C45" s="54"/>
      <c r="D45" s="54"/>
      <c r="E45" s="211"/>
      <c r="F45" s="504"/>
      <c r="G45" s="505"/>
      <c r="H45" s="329"/>
      <c r="I45" s="84" t="s">
        <v>468</v>
      </c>
      <c r="K45" s="382"/>
      <c r="L45" s="54"/>
      <c r="M45" s="141"/>
      <c r="N45" s="54"/>
      <c r="O45" s="54"/>
      <c r="P45" s="166">
        <f>'ENGLISH UNITS '!AS50/3.28084</f>
        <v>487.67998439424048</v>
      </c>
      <c r="Q45" s="167">
        <v>50</v>
      </c>
      <c r="R45" s="168">
        <f>'ENGLISH UNITS '!AU50/2.5208</f>
        <v>29.461052577675517</v>
      </c>
      <c r="S45" s="169">
        <f>'ENGLISH UNITS '!AV50</f>
        <v>1277.015706636977</v>
      </c>
      <c r="T45" s="169">
        <f>IF('ENGLISH UNITS '!AW50="Out of Range","Out of Range",'ENGLISH UNITS '!AW50*6.89474)</f>
        <v>3.6507211039608256</v>
      </c>
      <c r="U45" s="169">
        <f>IF('ENGLISH UNITS '!AX50="out of range","out of range",'ENGLISH UNITS '!AX50*6.89474)</f>
        <v>179.38580611963945</v>
      </c>
      <c r="V45" s="169">
        <f>'ENGLISH UNITS '!AY50</f>
        <v>109.14621951259399</v>
      </c>
      <c r="W45" s="169">
        <f>IF('ENGLISH UNITS '!AZ50="out of range","out of range",'ENGLISH UNITS '!AZ50*6.89474)</f>
        <v>7.4335928404550771</v>
      </c>
      <c r="X45" s="169">
        <f>IF('ENGLISH UNITS '!BA50="out of range","out of range",'ENGLISH UNITS '!BA50*6.89474)</f>
        <v>316.78137917919378</v>
      </c>
      <c r="Y45" s="169">
        <f>IF('ENGLISH UNITS '!BB50="out of range","out of range",'ENGLISH UNITS '!BB50*6.89474)</f>
        <v>4.9330642162768439E-2</v>
      </c>
      <c r="Z45" s="169">
        <f>IF('ENGLISH UNITS '!BC50="out of range","out of range",'ENGLISH UNITS '!BC50*6.89474)</f>
        <v>2.1367461182162071</v>
      </c>
      <c r="AB45" s="166">
        <f>'ENGLISH UNITS '!BE50/3.28084</f>
        <v>487.67998439424048</v>
      </c>
      <c r="AC45" s="168">
        <f>'ENGLISH UNITS '!BF50/2.5208</f>
        <v>29.461052577675517</v>
      </c>
      <c r="AD45" s="166">
        <f>'ENGLISH UNITS '!BG50/3.28084</f>
        <v>487.67998439424048</v>
      </c>
      <c r="AE45" s="169">
        <f>'ENGLISH UNITS '!BH50</f>
        <v>1277.015706636977</v>
      </c>
      <c r="AF45" s="169">
        <f>IF('ENGLISH UNITS '!BI50="out of range","out of range",'ENGLISH UNITS '!BI50*6.89474)</f>
        <v>3.6507211039608256</v>
      </c>
      <c r="AG45" s="169">
        <f>IF('ENGLISH UNITS '!BJ50="out of range","out of range",'ENGLISH UNITS '!BJ50*6.89474)</f>
        <v>179.38580611963945</v>
      </c>
      <c r="AH45" s="169">
        <f>'ENGLISH UNITS '!BK50</f>
        <v>109.14621951259399</v>
      </c>
      <c r="AI45" s="169">
        <f>IF('ENGLISH UNITS '!BL50="out of range","out of range",'ENGLISH UNITS '!BL50*6.89474)</f>
        <v>7.4335928404550771</v>
      </c>
      <c r="AJ45" s="169">
        <f>IF('ENGLISH UNITS '!BM50="out of range","out of range",'ENGLISH UNITS '!BM50*6.89474)</f>
        <v>316.78137917919378</v>
      </c>
      <c r="AK45" s="169">
        <f>IF('ENGLISH UNITS '!BN50="out of range","out of range",'ENGLISH UNITS '!BN50*6.89474)</f>
        <v>4.9330642162768439E-2</v>
      </c>
      <c r="AL45" s="169">
        <f>IF('ENGLISH UNITS '!BO50="out of range","out of range",'ENGLISH UNITS '!BO50*6.89474)</f>
        <v>2.1367461182162071</v>
      </c>
    </row>
    <row r="46" spans="1:38" x14ac:dyDescent="0.3">
      <c r="B46" s="62"/>
      <c r="C46" s="54" t="s">
        <v>22</v>
      </c>
      <c r="D46" s="54"/>
      <c r="E46" s="203">
        <f>'ENGLISH UNITS '!E51*6.89474</f>
        <v>6667.5074880347493</v>
      </c>
      <c r="F46" s="504">
        <f>'ENGLISH UNITS '!F51*6.89474</f>
        <v>6667.5074880347493</v>
      </c>
      <c r="G46" s="505"/>
      <c r="H46" s="329"/>
      <c r="I46" s="331" t="s">
        <v>469</v>
      </c>
      <c r="K46" s="382">
        <f>'ENGLISH UNITS '!K51</f>
        <v>1</v>
      </c>
      <c r="L46" s="54"/>
      <c r="M46" s="141"/>
      <c r="N46" s="54"/>
      <c r="O46" s="54"/>
      <c r="P46" s="166">
        <f>'ENGLISH UNITS '!AS51/3.28084</f>
        <v>548.63998244352058</v>
      </c>
      <c r="Q46" s="167">
        <v>50</v>
      </c>
      <c r="R46" s="168">
        <f>'ENGLISH UNITS '!AU51/2.5208</f>
        <v>33.143684149884955</v>
      </c>
      <c r="S46" s="169">
        <f>'ENGLISH UNITS '!AV51</f>
        <v>1453.361630049694</v>
      </c>
      <c r="T46" s="169">
        <f>IF('ENGLISH UNITS '!AW51="Out of Range","Out of Range",'ENGLISH UNITS '!AW51*6.89474)</f>
        <v>3.0933390087581865</v>
      </c>
      <c r="U46" s="169">
        <f>IF('ENGLISH UNITS '!AX51="out of range","out of range",'ENGLISH UNITS '!AX51*6.89474)</f>
        <v>159.41148632592666</v>
      </c>
      <c r="V46" s="169">
        <f>'ENGLISH UNITS '!AY51</f>
        <v>112.50964516240066</v>
      </c>
      <c r="W46" s="169">
        <f>IF('ENGLISH UNITS '!AZ51="out of range","out of range",'ENGLISH UNITS '!AZ51*6.89474)</f>
        <v>6.3033971612464539</v>
      </c>
      <c r="X46" s="169">
        <f>IF('ENGLISH UNITS '!BA51="out of range","out of range",'ENGLISH UNITS '!BA51*6.89474)</f>
        <v>279.92733531511493</v>
      </c>
      <c r="Y46" s="169">
        <f>IF('ENGLISH UNITS '!BB51="out of range","out of range",'ENGLISH UNITS '!BB51*6.89474)</f>
        <v>3.4556151879419947E-2</v>
      </c>
      <c r="Z46" s="169">
        <f>IF('ENGLISH UNITS '!BC51="out of range","out of range",'ENGLISH UNITS '!BC51*6.89474)</f>
        <v>1.5886815870916813</v>
      </c>
      <c r="AB46" s="166">
        <f>'ENGLISH UNITS '!BE51/3.28084</f>
        <v>548.63998244352058</v>
      </c>
      <c r="AC46" s="168">
        <f>'ENGLISH UNITS '!BF51/2.5208</f>
        <v>33.143684149884955</v>
      </c>
      <c r="AD46" s="166">
        <f>'ENGLISH UNITS '!BG51/3.28084</f>
        <v>548.63998244352058</v>
      </c>
      <c r="AE46" s="169">
        <f>'ENGLISH UNITS '!BH51</f>
        <v>1453.361630049694</v>
      </c>
      <c r="AF46" s="169">
        <f>IF('ENGLISH UNITS '!BI51="out of range","out of range",'ENGLISH UNITS '!BI51*6.89474)</f>
        <v>3.0933390087581865</v>
      </c>
      <c r="AG46" s="169">
        <f>IF('ENGLISH UNITS '!BJ51="out of range","out of range",'ENGLISH UNITS '!BJ51*6.89474)</f>
        <v>159.41148632592666</v>
      </c>
      <c r="AH46" s="169">
        <f>'ENGLISH UNITS '!BK51</f>
        <v>112.50964516240066</v>
      </c>
      <c r="AI46" s="169">
        <f>IF('ENGLISH UNITS '!BL51="out of range","out of range",'ENGLISH UNITS '!BL51*6.89474)</f>
        <v>6.3033971612464539</v>
      </c>
      <c r="AJ46" s="169">
        <f>IF('ENGLISH UNITS '!BM51="out of range","out of range",'ENGLISH UNITS '!BM51*6.89474)</f>
        <v>279.92733531511493</v>
      </c>
      <c r="AK46" s="169">
        <f>IF('ENGLISH UNITS '!BN51="out of range","out of range",'ENGLISH UNITS '!BN51*6.89474)</f>
        <v>3.4556151879419947E-2</v>
      </c>
      <c r="AL46" s="169">
        <f>IF('ENGLISH UNITS '!BO51="out of range","out of range",'ENGLISH UNITS '!BO51*6.89474)</f>
        <v>1.5886815870916813</v>
      </c>
    </row>
    <row r="47" spans="1:38" x14ac:dyDescent="0.3">
      <c r="B47" s="62"/>
      <c r="C47" s="54" t="s">
        <v>458</v>
      </c>
      <c r="D47" s="54"/>
      <c r="E47" s="211"/>
      <c r="F47" s="504"/>
      <c r="G47" s="505"/>
      <c r="H47" s="329"/>
      <c r="I47" s="84" t="s">
        <v>26</v>
      </c>
      <c r="K47" s="437"/>
      <c r="L47" s="54"/>
      <c r="M47" s="141"/>
      <c r="N47" s="54"/>
      <c r="O47" s="54"/>
      <c r="P47" s="166">
        <f>'ENGLISH UNITS '!AS52/3.28084</f>
        <v>609.59998049280068</v>
      </c>
      <c r="Q47" s="167">
        <v>50</v>
      </c>
      <c r="R47" s="168">
        <f>'ENGLISH UNITS '!AU52/2.5208</f>
        <v>36.8263157220944</v>
      </c>
      <c r="S47" s="169">
        <f>'ENGLISH UNITS '!AV52</f>
        <v>1628.123450845801</v>
      </c>
      <c r="T47" s="169">
        <f>IF('ENGLISH UNITS '!AW52="Out of Range","Out of Range",'ENGLISH UNITS '!AW52*6.89474)</f>
        <v>2.6672580349492176</v>
      </c>
      <c r="U47" s="169">
        <f>IF('ENGLISH UNITS '!AX52="out of range","out of range",'ENGLISH UNITS '!AX52*6.89474)</f>
        <v>142.50460842653899</v>
      </c>
      <c r="V47" s="169">
        <f>'ENGLISH UNITS '!AY52</f>
        <v>115.75731304922485</v>
      </c>
      <c r="W47" s="169">
        <f>IF('ENGLISH UNITS '!AZ52="out of range","out of range",'ENGLISH UNITS '!AZ52*6.89474)</f>
        <v>5.4046705549194227</v>
      </c>
      <c r="X47" s="169">
        <f>IF('ENGLISH UNITS '!BA52="out of range","out of range",'ENGLISH UNITS '!BA52*6.89474)</f>
        <v>250.51004309117613</v>
      </c>
      <c r="Y47" s="169">
        <f>IF('ENGLISH UNITS '!BB52="out of range","out of range",'ENGLISH UNITS '!BB52*6.89474)</f>
        <v>2.4237941889658863E-2</v>
      </c>
      <c r="Z47" s="169">
        <f>IF('ENGLISH UNITS '!BC52="out of range","out of range",'ENGLISH UNITS '!BC52*6.89474)</f>
        <v>1.1675378708556206</v>
      </c>
      <c r="AB47" s="166">
        <f>'ENGLISH UNITS '!BE52/3.28084</f>
        <v>609.59998049280068</v>
      </c>
      <c r="AC47" s="168">
        <f>'ENGLISH UNITS '!BF52/2.5208</f>
        <v>36.8263157220944</v>
      </c>
      <c r="AD47" s="166">
        <f>'ENGLISH UNITS '!BG52/3.28084</f>
        <v>609.59998049280068</v>
      </c>
      <c r="AE47" s="169">
        <f>'ENGLISH UNITS '!BH52</f>
        <v>1628.123450845801</v>
      </c>
      <c r="AF47" s="169">
        <f>IF('ENGLISH UNITS '!BI52="out of range","out of range",'ENGLISH UNITS '!BI52*6.89474)</f>
        <v>2.6672580349492176</v>
      </c>
      <c r="AG47" s="169">
        <f>IF('ENGLISH UNITS '!BJ52="out of range","out of range",'ENGLISH UNITS '!BJ52*6.89474)</f>
        <v>142.50460842653899</v>
      </c>
      <c r="AH47" s="169">
        <f>'ENGLISH UNITS '!BK52</f>
        <v>115.75731304922485</v>
      </c>
      <c r="AI47" s="169">
        <f>IF('ENGLISH UNITS '!BL52="out of range","out of range",'ENGLISH UNITS '!BL52*6.89474)</f>
        <v>5.4046705549194227</v>
      </c>
      <c r="AJ47" s="169">
        <f>IF('ENGLISH UNITS '!BM52="out of range","out of range",'ENGLISH UNITS '!BM52*6.89474)</f>
        <v>250.51004309117613</v>
      </c>
      <c r="AK47" s="169">
        <f>IF('ENGLISH UNITS '!BN52="out of range","out of range",'ENGLISH UNITS '!BN52*6.89474)</f>
        <v>2.4237941889658863E-2</v>
      </c>
      <c r="AL47" s="169">
        <f>IF('ENGLISH UNITS '!BO52="out of range","out of range",'ENGLISH UNITS '!BO52*6.89474)</f>
        <v>1.1675378708556206</v>
      </c>
    </row>
    <row r="48" spans="1:38" x14ac:dyDescent="0.3">
      <c r="B48" s="62"/>
      <c r="C48" s="54"/>
      <c r="D48" s="54"/>
      <c r="E48" s="211"/>
      <c r="F48" s="504"/>
      <c r="G48" s="505"/>
      <c r="H48" s="329"/>
      <c r="I48" s="84"/>
      <c r="K48" s="382"/>
      <c r="L48" s="54"/>
      <c r="M48" s="141"/>
      <c r="N48" s="54"/>
      <c r="O48" s="54"/>
      <c r="P48" s="166">
        <f>'ENGLISH UNITS '!AS53/3.28084</f>
        <v>761.99997561600082</v>
      </c>
      <c r="Q48" s="167">
        <v>50</v>
      </c>
      <c r="R48" s="168">
        <f>'ENGLISH UNITS '!AU53/2.5208</f>
        <v>46.032894652617998</v>
      </c>
      <c r="S48" s="169">
        <f>'ENGLISH UNITS '!AV53</f>
        <v>2058.3954022998973</v>
      </c>
      <c r="T48" s="169">
        <f>IF('ENGLISH UNITS '!AW53="Out of Range","Out of Range",'ENGLISH UNITS '!AW53*6.89474)</f>
        <v>1.9487288188852849</v>
      </c>
      <c r="U48" s="169">
        <f>IF('ENGLISH UNITS '!AX53="out of range","out of range",'ENGLISH UNITS '!AX53*6.89474)</f>
        <v>112.43731738081391</v>
      </c>
      <c r="V48" s="169">
        <f>'ENGLISH UNITS '!AY53</f>
        <v>122.57074406077106</v>
      </c>
      <c r="W48" s="169">
        <f>IF('ENGLISH UNITS '!AZ53="out of range","out of range",'ENGLISH UNITS '!AZ53*6.89474)</f>
        <v>3.8974576377705699</v>
      </c>
      <c r="X48" s="169">
        <f>IF('ENGLISH UNITS '!BA53="out of range","out of range",'ENGLISH UNITS '!BA53*6.89474)</f>
        <v>197.69993009215915</v>
      </c>
      <c r="Y48" s="169">
        <f>IF('ENGLISH UNITS '!BB53="out of range","out of range",'ENGLISH UNITS '!BB53*6.89474)</f>
        <v>9.8092261925623436E-3</v>
      </c>
      <c r="Z48" s="169">
        <f>IF('ENGLISH UNITS '!BC53="out of range","out of range",'ENGLISH UNITS '!BC53*6.89474)</f>
        <v>0.47710361038770455</v>
      </c>
      <c r="AB48" s="166">
        <f>'ENGLISH UNITS '!BE53/3.28084</f>
        <v>761.99997561600082</v>
      </c>
      <c r="AC48" s="168">
        <f>'ENGLISH UNITS '!BF53/2.5208</f>
        <v>46.032894652617998</v>
      </c>
      <c r="AD48" s="166">
        <f>'ENGLISH UNITS '!BG53/3.28084</f>
        <v>761.99997561600082</v>
      </c>
      <c r="AE48" s="169">
        <f>'ENGLISH UNITS '!BH53</f>
        <v>2058.3954022998973</v>
      </c>
      <c r="AF48" s="169">
        <f>IF('ENGLISH UNITS '!BI53="out of range","out of range",'ENGLISH UNITS '!BI53*6.89474)</f>
        <v>1.9487288188852849</v>
      </c>
      <c r="AG48" s="169">
        <f>IF('ENGLISH UNITS '!BJ53="out of range","out of range",'ENGLISH UNITS '!BJ53*6.89474)</f>
        <v>112.43731738081391</v>
      </c>
      <c r="AH48" s="169">
        <f>'ENGLISH UNITS '!BK53</f>
        <v>122.57074406077106</v>
      </c>
      <c r="AI48" s="169">
        <f>IF('ENGLISH UNITS '!BL53="out of range","out of range",'ENGLISH UNITS '!BL53*6.89474)</f>
        <v>3.8974576377705699</v>
      </c>
      <c r="AJ48" s="169">
        <f>IF('ENGLISH UNITS '!BM53="out of range","out of range",'ENGLISH UNITS '!BM53*6.89474)</f>
        <v>197.69993009215915</v>
      </c>
      <c r="AK48" s="169">
        <f>IF('ENGLISH UNITS '!BN53="out of range","out of range",'ENGLISH UNITS '!BN53*6.89474)</f>
        <v>9.8092261925623436E-3</v>
      </c>
      <c r="AL48" s="169">
        <f>IF('ENGLISH UNITS '!BO53="out of range","out of range",'ENGLISH UNITS '!BO53*6.89474)</f>
        <v>0.47710361038770455</v>
      </c>
    </row>
    <row r="49" spans="2:38" ht="18.600000000000001" x14ac:dyDescent="0.3">
      <c r="B49" s="62"/>
      <c r="C49" s="54" t="s">
        <v>23</v>
      </c>
      <c r="D49" s="54"/>
      <c r="E49" s="203">
        <f>'ENGLISH UNITS '!E54*6.89474</f>
        <v>276.63518282375657</v>
      </c>
      <c r="F49" s="504">
        <f>'ENGLISH UNITS '!F54*6.89474</f>
        <v>276.63518282375657</v>
      </c>
      <c r="G49" s="505"/>
      <c r="H49" s="329"/>
      <c r="I49" s="84" t="s">
        <v>470</v>
      </c>
      <c r="K49" s="382"/>
      <c r="L49" s="155"/>
      <c r="M49" s="198"/>
      <c r="N49" s="155"/>
      <c r="O49" s="155"/>
      <c r="P49" s="166">
        <f>'ENGLISH UNITS '!AS54/3.28084</f>
        <v>914.39997073920097</v>
      </c>
      <c r="Q49" s="167">
        <v>50</v>
      </c>
      <c r="R49" s="168">
        <f>'ENGLISH UNITS '!AU54/2.5208</f>
        <v>55.239473583141596</v>
      </c>
      <c r="S49" s="169">
        <f>'ENGLISH UNITS '!AV54</f>
        <v>2491.6951838423752</v>
      </c>
      <c r="T49" s="169">
        <f>IF('ENGLISH UNITS '!AW54="Out of Range","Out of Range",'ENGLISH UNITS '!AW54*6.89474)</f>
        <v>1.5079087700884994</v>
      </c>
      <c r="U49" s="169">
        <f>IF('ENGLISH UNITS '!AX54="out of range","out of range",'ENGLISH UNITS '!AX54*6.89474)</f>
        <v>92.64457471187059</v>
      </c>
      <c r="V49" s="169">
        <f>'ENGLISH UNITS '!AY54</f>
        <v>127.85718177192244</v>
      </c>
      <c r="W49" s="169">
        <f>IF('ENGLISH UNITS '!AZ54="out of range","out of range",'ENGLISH UNITS '!AZ54*6.89474)</f>
        <v>3.0158175401769989</v>
      </c>
      <c r="X49" s="169">
        <f>IF('ENGLISH UNITS '!BA54="out of range","out of range",'ENGLISH UNITS '!BA54*6.89474)</f>
        <v>162.59778966671962</v>
      </c>
      <c r="Y49" s="169">
        <f>IF('ENGLISH UNITS '!BB54="out of range","out of range",'ENGLISH UNITS '!BB54*6.89474)</f>
        <v>3.803307579050859E-3</v>
      </c>
      <c r="Z49" s="169">
        <f>IF('ENGLISH UNITS '!BC54="out of range","out of range",'ENGLISH UNITS '!BC54*6.89474)</f>
        <v>0.14968776917210566</v>
      </c>
      <c r="AB49" s="166">
        <f>'ENGLISH UNITS '!BE54/3.28084</f>
        <v>914.39997073920097</v>
      </c>
      <c r="AC49" s="168">
        <f>'ENGLISH UNITS '!BF54/2.5208</f>
        <v>55.239473583141596</v>
      </c>
      <c r="AD49" s="166">
        <f>'ENGLISH UNITS '!BG54/3.28084</f>
        <v>914.39997073920097</v>
      </c>
      <c r="AE49" s="169">
        <f>'ENGLISH UNITS '!BH54</f>
        <v>2491.6951838423752</v>
      </c>
      <c r="AF49" s="169">
        <f>IF('ENGLISH UNITS '!BI54="out of range","out of range",'ENGLISH UNITS '!BI54*6.89474)</f>
        <v>1.5079087700884994</v>
      </c>
      <c r="AG49" s="169">
        <f>IF('ENGLISH UNITS '!BJ54="out of range","out of range",'ENGLISH UNITS '!BJ54*6.89474)</f>
        <v>92.64457471187059</v>
      </c>
      <c r="AH49" s="169">
        <f>'ENGLISH UNITS '!BK54</f>
        <v>127.85718177192244</v>
      </c>
      <c r="AI49" s="169">
        <f>IF('ENGLISH UNITS '!BL54="out of range","out of range",'ENGLISH UNITS '!BL54*6.89474)</f>
        <v>3.0158175401769989</v>
      </c>
      <c r="AJ49" s="169">
        <f>IF('ENGLISH UNITS '!BM54="out of range","out of range",'ENGLISH UNITS '!BM54*6.89474)</f>
        <v>162.59778966671962</v>
      </c>
      <c r="AK49" s="169">
        <f>IF('ENGLISH UNITS '!BN54="out of range","out of range",'ENGLISH UNITS '!BN54*6.89474)</f>
        <v>3.803307579050859E-3</v>
      </c>
      <c r="AL49" s="169">
        <f>IF('ENGLISH UNITS '!BO54="out of range","out of range",'ENGLISH UNITS '!BO54*6.89474)</f>
        <v>0.14968776917210566</v>
      </c>
    </row>
    <row r="50" spans="2:38" x14ac:dyDescent="0.3">
      <c r="B50" s="62"/>
      <c r="C50" s="54" t="s">
        <v>459</v>
      </c>
      <c r="D50" s="54"/>
      <c r="E50" s="211"/>
      <c r="F50" s="504"/>
      <c r="G50" s="505"/>
      <c r="H50" s="329"/>
      <c r="I50" s="331" t="s">
        <v>471</v>
      </c>
      <c r="K50" s="382">
        <f>'ENGLISH UNITS '!K55</f>
        <v>1</v>
      </c>
      <c r="L50" s="54"/>
      <c r="M50" s="141"/>
      <c r="N50" s="54"/>
      <c r="O50" s="54"/>
      <c r="P50" s="166">
        <f>'ENGLISH UNITS '!AS55/3.28084</f>
        <v>1066.799965862401</v>
      </c>
      <c r="Q50" s="167">
        <v>50</v>
      </c>
      <c r="R50" s="168">
        <f>'ENGLISH UNITS '!AU55/2.5208</f>
        <v>64.446052513665194</v>
      </c>
      <c r="S50" s="169">
        <f>'ENGLISH UNITS '!AV55</f>
        <v>2928.4766052991195</v>
      </c>
      <c r="T50" s="169">
        <f>IF('ENGLISH UNITS '!AW55="Out of Range","Out of Range",'ENGLISH UNITS '!AW55*6.89474)</f>
        <v>1.2139693245312759</v>
      </c>
      <c r="U50" s="169">
        <f>IF('ENGLISH UNITS '!AX55="out of range","out of range",'ENGLISH UNITS '!AX55*6.89474)</f>
        <v>78.65430563352038</v>
      </c>
      <c r="V50" s="169">
        <f>'ENGLISH UNITS '!AY55</f>
        <v>132.3054771538398</v>
      </c>
      <c r="W50" s="169">
        <f>IF('ENGLISH UNITS '!AZ55="out of range","out of range",'ENGLISH UNITS '!AZ55*6.89474)</f>
        <v>2.4279386490625519</v>
      </c>
      <c r="X50" s="169">
        <f>IF('ENGLISH UNITS '!BA55="out of range","out of range",'ENGLISH UNITS '!BA55*6.89474)</f>
        <v>137.58735499657823</v>
      </c>
      <c r="Y50" s="169" t="str">
        <f>IF('ENGLISH UNITS '!BB55="out of range","out of range",'ENGLISH UNITS '!BB55*6.89474)</f>
        <v>out of range</v>
      </c>
      <c r="Z50" s="169" t="str">
        <f>IF('ENGLISH UNITS '!BC55="out of range","out of range",'ENGLISH UNITS '!BC55*6.89474)</f>
        <v>out of range</v>
      </c>
      <c r="AB50" s="166">
        <f>'ENGLISH UNITS '!BE55/3.28084</f>
        <v>1066.799965862401</v>
      </c>
      <c r="AC50" s="168">
        <f>'ENGLISH UNITS '!BF55/2.5208</f>
        <v>64.446052513665194</v>
      </c>
      <c r="AD50" s="166">
        <f>'ENGLISH UNITS '!BG55/3.28084</f>
        <v>1066.799965862401</v>
      </c>
      <c r="AE50" s="169">
        <f>'ENGLISH UNITS '!BH55</f>
        <v>2928.4766052991195</v>
      </c>
      <c r="AF50" s="169">
        <f>IF('ENGLISH UNITS '!BI55="out of range","out of range",'ENGLISH UNITS '!BI55*6.89474)</f>
        <v>1.2139693245312759</v>
      </c>
      <c r="AG50" s="169">
        <f>IF('ENGLISH UNITS '!BJ55="out of range","out of range",'ENGLISH UNITS '!BJ55*6.89474)</f>
        <v>78.65430563352038</v>
      </c>
      <c r="AH50" s="169">
        <f>'ENGLISH UNITS '!BK55</f>
        <v>132.3054771538398</v>
      </c>
      <c r="AI50" s="169">
        <f>IF('ENGLISH UNITS '!BL55="out of range","out of range",'ENGLISH UNITS '!BL55*6.89474)</f>
        <v>2.4279386490625519</v>
      </c>
      <c r="AJ50" s="169">
        <f>IF('ENGLISH UNITS '!BM55="out of range","out of range",'ENGLISH UNITS '!BM55*6.89474)</f>
        <v>137.58735499657823</v>
      </c>
      <c r="AK50" s="169" t="str">
        <f>IF('ENGLISH UNITS '!BN55="out of range","out of range",'ENGLISH UNITS '!BN55*6.89474)</f>
        <v>out of range</v>
      </c>
      <c r="AL50" s="169" t="str">
        <f>IF('ENGLISH UNITS '!BO55="out of range","out of range",'ENGLISH UNITS '!BO55*6.89474)</f>
        <v>out of range</v>
      </c>
    </row>
    <row r="51" spans="2:38" x14ac:dyDescent="0.3">
      <c r="B51" s="62"/>
      <c r="C51" s="54"/>
      <c r="D51" s="54"/>
      <c r="E51" s="211"/>
      <c r="F51" s="504"/>
      <c r="G51" s="505"/>
      <c r="H51" s="332"/>
      <c r="I51" s="84" t="s">
        <v>26</v>
      </c>
      <c r="J51" s="54"/>
      <c r="K51" s="209"/>
      <c r="L51" s="54"/>
      <c r="M51" s="141"/>
      <c r="N51" s="54"/>
      <c r="O51" s="54"/>
      <c r="P51" s="166">
        <f>'ENGLISH UNITS '!AS56/3.28084</f>
        <v>1219.1999609856014</v>
      </c>
      <c r="Q51" s="167">
        <v>50</v>
      </c>
      <c r="R51" s="168">
        <f>'ENGLISH UNITS '!AU56/2.5208</f>
        <v>73.652631444188799</v>
      </c>
      <c r="S51" s="169">
        <f>'ENGLISH UNITS '!AV56</f>
        <v>3368.260877527156</v>
      </c>
      <c r="T51" s="169">
        <f>IF('ENGLISH UNITS '!AW56="Out of Range","Out of Range",'ENGLISH UNITS '!AW56*6.89474)</f>
        <v>1.0060886281566075</v>
      </c>
      <c r="U51" s="169">
        <f>IF('ENGLISH UNITS '!AX56="out of range","out of range",'ENGLISH UNITS '!AX56*6.89474)</f>
        <v>68.255091585408238</v>
      </c>
      <c r="V51" s="169">
        <f>'ENGLISH UNITS '!AY56</f>
        <v>136.13219084627971</v>
      </c>
      <c r="W51" s="169">
        <f>IF('ENGLISH UNITS '!AZ56="out of range","out of range",'ENGLISH UNITS '!AZ56*6.89474)</f>
        <v>2.012177256313215</v>
      </c>
      <c r="X51" s="169">
        <f>IF('ENGLISH UNITS '!BA56="out of range","out of range",'ENGLISH UNITS '!BA56*6.89474)</f>
        <v>118.87572072032636</v>
      </c>
      <c r="Y51" s="169" t="str">
        <f>IF('ENGLISH UNITS '!BB56="out of range","out of range",'ENGLISH UNITS '!BB56*6.89474)</f>
        <v>out of range</v>
      </c>
      <c r="Z51" s="169" t="str">
        <f>IF('ENGLISH UNITS '!BC56="out of range","out of range",'ENGLISH UNITS '!BC56*6.89474)</f>
        <v>out of range</v>
      </c>
      <c r="AB51" s="166">
        <f>'ENGLISH UNITS '!BE56/3.28084</f>
        <v>1219.1999609856014</v>
      </c>
      <c r="AC51" s="168">
        <f>'ENGLISH UNITS '!BF56/2.5208</f>
        <v>73.652631444188799</v>
      </c>
      <c r="AD51" s="166">
        <f>'ENGLISH UNITS '!BG56/3.28084</f>
        <v>1219.1999609856014</v>
      </c>
      <c r="AE51" s="169">
        <f>'ENGLISH UNITS '!BH56</f>
        <v>3368.260877527156</v>
      </c>
      <c r="AF51" s="169">
        <f>IF('ENGLISH UNITS '!BI56="out of range","out of range",'ENGLISH UNITS '!BI56*6.89474)</f>
        <v>1.0060886281566075</v>
      </c>
      <c r="AG51" s="169">
        <f>IF('ENGLISH UNITS '!BJ56="out of range","out of range",'ENGLISH UNITS '!BJ56*6.89474)</f>
        <v>68.255091585408238</v>
      </c>
      <c r="AH51" s="169">
        <f>'ENGLISH UNITS '!BK56</f>
        <v>136.13219084627971</v>
      </c>
      <c r="AI51" s="169">
        <f>IF('ENGLISH UNITS '!BL56="out of range","out of range",'ENGLISH UNITS '!BL56*6.89474)</f>
        <v>2.012177256313215</v>
      </c>
      <c r="AJ51" s="169">
        <f>IF('ENGLISH UNITS '!BM56="out of range","out of range",'ENGLISH UNITS '!BM56*6.89474)</f>
        <v>118.87572072032636</v>
      </c>
      <c r="AK51" s="169" t="str">
        <f>IF('ENGLISH UNITS '!BN56="out of range","out of range",'ENGLISH UNITS '!BN56*6.89474)</f>
        <v>out of range</v>
      </c>
      <c r="AL51" s="169" t="str">
        <f>IF('ENGLISH UNITS '!BO56="out of range","out of range",'ENGLISH UNITS '!BO56*6.89474)</f>
        <v>out of range</v>
      </c>
    </row>
    <row r="52" spans="2:38" x14ac:dyDescent="0.3">
      <c r="B52" s="62"/>
      <c r="C52" s="54" t="s">
        <v>284</v>
      </c>
      <c r="D52" s="54"/>
      <c r="E52" s="203">
        <f>'ENGLISH UNITS '!E57*6.89474</f>
        <v>1279.6920867909589</v>
      </c>
      <c r="F52" s="504">
        <f>'ENGLISH UNITS '!F57*6.89474</f>
        <v>1279.6920867909589</v>
      </c>
      <c r="G52" s="505"/>
      <c r="H52" s="329"/>
      <c r="J52" s="209"/>
      <c r="K52" s="209"/>
      <c r="L52" s="54"/>
      <c r="M52" s="141"/>
      <c r="N52" s="54"/>
      <c r="O52" s="54"/>
      <c r="P52" s="166">
        <f>'ENGLISH UNITS '!AS57/3.28084</f>
        <v>1371.5999561088015</v>
      </c>
      <c r="Q52" s="167">
        <v>50</v>
      </c>
      <c r="R52" s="168">
        <f>'ENGLISH UNITS '!AU57/2.5208</f>
        <v>82.85921037471239</v>
      </c>
      <c r="S52" s="169">
        <f>'ENGLISH UNITS '!AV57</f>
        <v>3810.6874877480832</v>
      </c>
      <c r="T52" s="169">
        <f>IF('ENGLISH UNITS '!AW57="Out of Range","Out of Range",'ENGLISH UNITS '!AW57*6.89474)</f>
        <v>0.85248177308540762</v>
      </c>
      <c r="U52" s="169">
        <f>IF('ENGLISH UNITS '!AX57="out of range","out of range",'ENGLISH UNITS '!AX57*6.89474)</f>
        <v>60.229751994076103</v>
      </c>
      <c r="V52" s="169">
        <f>'ENGLISH UNITS '!AY57</f>
        <v>139.47978215023244</v>
      </c>
      <c r="W52" s="169">
        <f>IF('ENGLISH UNITS '!AZ57="out of range","out of range",'ENGLISH UNITS '!AZ57*6.89474)</f>
        <v>1.7049635461708152</v>
      </c>
      <c r="X52" s="169">
        <f>IF('ENGLISH UNITS '!BA57="out of range","out of range",'ENGLISH UNITS '!BA57*6.89474)</f>
        <v>104.36007637017562</v>
      </c>
      <c r="Y52" s="169" t="str">
        <f>IF('ENGLISH UNITS '!BB57="out of range","out of range",'ENGLISH UNITS '!BB57*6.89474)</f>
        <v>out of range</v>
      </c>
      <c r="Z52" s="169" t="str">
        <f>IF('ENGLISH UNITS '!BC57="out of range","out of range",'ENGLISH UNITS '!BC57*6.89474)</f>
        <v>out of range</v>
      </c>
      <c r="AB52" s="166">
        <f>'ENGLISH UNITS '!BE57/3.28084</f>
        <v>1371.5999561088015</v>
      </c>
      <c r="AC52" s="168">
        <f>'ENGLISH UNITS '!BF57/2.5208</f>
        <v>82.85921037471239</v>
      </c>
      <c r="AD52" s="166">
        <f>'ENGLISH UNITS '!BG57/3.28084</f>
        <v>1371.5999561088015</v>
      </c>
      <c r="AE52" s="169">
        <f>'ENGLISH UNITS '!BH57</f>
        <v>3810.6874877480832</v>
      </c>
      <c r="AF52" s="169">
        <f>IF('ENGLISH UNITS '!BI57="out of range","out of range",'ENGLISH UNITS '!BI57*6.89474)</f>
        <v>0.85248177308540762</v>
      </c>
      <c r="AG52" s="169">
        <f>IF('ENGLISH UNITS '!BJ57="out of range","out of range",'ENGLISH UNITS '!BJ57*6.89474)</f>
        <v>60.229751994076103</v>
      </c>
      <c r="AH52" s="169">
        <f>'ENGLISH UNITS '!BK57</f>
        <v>139.47978215023244</v>
      </c>
      <c r="AI52" s="169">
        <f>IF('ENGLISH UNITS '!BL57="out of range","out of range",'ENGLISH UNITS '!BL57*6.89474)</f>
        <v>1.7049635461708152</v>
      </c>
      <c r="AJ52" s="169">
        <f>IF('ENGLISH UNITS '!BM57="out of range","out of range",'ENGLISH UNITS '!BM57*6.89474)</f>
        <v>104.36007637017562</v>
      </c>
      <c r="AK52" s="169" t="str">
        <f>IF('ENGLISH UNITS '!BN57="out of range","out of range",'ENGLISH UNITS '!BN57*6.89474)</f>
        <v>out of range</v>
      </c>
      <c r="AL52" s="169" t="str">
        <f>IF('ENGLISH UNITS '!BO57="out of range","out of range",'ENGLISH UNITS '!BO57*6.89474)</f>
        <v>out of range</v>
      </c>
    </row>
    <row r="53" spans="2:38" ht="19.5" customHeight="1" x14ac:dyDescent="0.3">
      <c r="B53" s="62"/>
      <c r="C53" s="54" t="s">
        <v>458</v>
      </c>
      <c r="D53" s="54"/>
      <c r="E53" s="244"/>
      <c r="F53" s="521"/>
      <c r="G53" s="522"/>
      <c r="H53" s="333"/>
      <c r="J53" s="245"/>
      <c r="K53" s="245"/>
      <c r="L53" s="196"/>
      <c r="M53" s="246"/>
      <c r="N53" s="196"/>
      <c r="O53" s="196"/>
      <c r="P53" s="166">
        <f>'ENGLISH UNITS '!AS58/3.28084</f>
        <v>1523.9999512320016</v>
      </c>
      <c r="Q53" s="167">
        <v>50</v>
      </c>
      <c r="R53" s="168">
        <f>'ENGLISH UNITS '!AU58/2.5208</f>
        <v>92.065789305235995</v>
      </c>
      <c r="S53" s="169">
        <f>'ENGLISH UNITS '!AV58</f>
        <v>4255.4748935203734</v>
      </c>
      <c r="T53" s="169">
        <f>IF('ENGLISH UNITS '!AW58="Out of Range","Out of Range",'ENGLISH UNITS '!AW58*6.89474)</f>
        <v>0.73505970489235783</v>
      </c>
      <c r="U53" s="169">
        <f>IF('ENGLISH UNITS '!AX58="out of range","out of range",'ENGLISH UNITS '!AX58*6.89474)</f>
        <v>53.853833080782294</v>
      </c>
      <c r="V53" s="169">
        <f>'ENGLISH UNITS '!AY58</f>
        <v>142.44701233320373</v>
      </c>
      <c r="W53" s="169">
        <f>IF('ENGLISH UNITS '!AZ58="out of range","out of range",'ENGLISH UNITS '!AZ58*6.89474)</f>
        <v>1.4701194097847157</v>
      </c>
      <c r="X53" s="169">
        <f>IF('ENGLISH UNITS '!BA58="out of range","out of range",'ENGLISH UNITS '!BA58*6.89474)</f>
        <v>92.780046517561829</v>
      </c>
      <c r="Y53" s="169" t="str">
        <f>IF('ENGLISH UNITS '!BB58="out of range","out of range",'ENGLISH UNITS '!BB58*6.89474)</f>
        <v>out of range</v>
      </c>
      <c r="Z53" s="169" t="str">
        <f>IF('ENGLISH UNITS '!BC58="out of range","out of range",'ENGLISH UNITS '!BC58*6.89474)</f>
        <v>out of range</v>
      </c>
      <c r="AB53" s="166">
        <f>'ENGLISH UNITS '!BE58/3.28084</f>
        <v>1523.9999512320016</v>
      </c>
      <c r="AC53" s="168">
        <f>'ENGLISH UNITS '!BF58/2.5208</f>
        <v>92.065789305235995</v>
      </c>
      <c r="AD53" s="166">
        <f>'ENGLISH UNITS '!BG58/3.28084</f>
        <v>1523.9999512320016</v>
      </c>
      <c r="AE53" s="249">
        <f>'ENGLISH UNITS '!BH58</f>
        <v>4255.4748935203734</v>
      </c>
      <c r="AF53" s="249">
        <f>IF('ENGLISH UNITS '!BI58="out of range","out of range",'ENGLISH UNITS '!BI58*6.89474)</f>
        <v>0.73505970489235783</v>
      </c>
      <c r="AG53" s="249">
        <f>IF('ENGLISH UNITS '!BJ58="out of range","out of range",'ENGLISH UNITS '!BJ58*6.89474)</f>
        <v>53.853833080782294</v>
      </c>
      <c r="AH53" s="249">
        <f>'ENGLISH UNITS '!BK58</f>
        <v>142.44701233320373</v>
      </c>
      <c r="AI53" s="249">
        <f>IF('ENGLISH UNITS '!BL58="out of range","out of range",'ENGLISH UNITS '!BL58*6.89474)</f>
        <v>1.4701194097847157</v>
      </c>
      <c r="AJ53" s="249">
        <f>IF('ENGLISH UNITS '!BM58="out of range","out of range",'ENGLISH UNITS '!BM58*6.89474)</f>
        <v>92.780046517561829</v>
      </c>
      <c r="AK53" s="249" t="str">
        <f>IF('ENGLISH UNITS '!BN58="out of range","out of range",'ENGLISH UNITS '!BN58*6.89474)</f>
        <v>out of range</v>
      </c>
      <c r="AL53" s="249" t="str">
        <f>IF('ENGLISH UNITS '!BO58="out of range","out of range",'ENGLISH UNITS '!BO58*6.89474)</f>
        <v>out of range</v>
      </c>
    </row>
    <row r="54" spans="2:38" ht="23.4" thickBot="1" x14ac:dyDescent="0.45">
      <c r="B54" s="62"/>
      <c r="C54" s="186"/>
      <c r="D54" s="186"/>
      <c r="E54" s="186"/>
      <c r="F54" s="186"/>
      <c r="G54" s="186"/>
      <c r="H54" s="186"/>
      <c r="I54" s="186"/>
      <c r="J54" s="248"/>
      <c r="K54" s="196"/>
      <c r="L54" s="60"/>
      <c r="M54" s="189"/>
      <c r="N54" s="60"/>
      <c r="O54" s="60"/>
      <c r="P54" s="250">
        <f>'ENGLISH UNITS '!AS59/3.28084</f>
        <v>1828.7999414784019</v>
      </c>
      <c r="Q54" s="251">
        <v>50</v>
      </c>
      <c r="R54" s="252">
        <f>'ENGLISH UNITS '!AU59/2.5208</f>
        <v>110.47894716628319</v>
      </c>
      <c r="S54" s="253">
        <f>'ENGLISH UNITS '!AV59</f>
        <v>5151.2679659600244</v>
      </c>
      <c r="T54" s="253">
        <f>IF('ENGLISH UNITS '!AW59="Out of Range","Out of Range",'ENGLISH UNITS '!AW59*6.89474)</f>
        <v>0.56878256471820454</v>
      </c>
      <c r="U54" s="253">
        <f>IF('ENGLISH UNITS '!AX59="out of range","out of range",'ENGLISH UNITS '!AX59*6.89474)</f>
        <v>44.373750446882305</v>
      </c>
      <c r="V54" s="253">
        <f>'ENGLISH UNITS '!AY59</f>
        <v>147.50741468426529</v>
      </c>
      <c r="W54" s="253">
        <f>IF('ENGLISH UNITS '!AZ59="out of range","out of range",'ENGLISH UNITS '!AZ59*6.89474)</f>
        <v>1.1375651294364091</v>
      </c>
      <c r="X54" s="253">
        <f>IF('ENGLISH UNITS '!BA59="out of range","out of range",'ENGLISH UNITS '!BA59*6.89474)</f>
        <v>75.487457027072878</v>
      </c>
      <c r="Y54" s="253" t="str">
        <f>IF('ENGLISH UNITS '!BB59="out of range","out of range",'ENGLISH UNITS '!BB59*6.89474)</f>
        <v>out of range</v>
      </c>
      <c r="Z54" s="253" t="str">
        <f>IF('ENGLISH UNITS '!BC59="out of range","out of range",'ENGLISH UNITS '!BC59*6.89474)</f>
        <v>out of range</v>
      </c>
      <c r="AB54" s="250">
        <f>'ENGLISH UNITS '!BE59/3.28084</f>
        <v>1828.7999414784019</v>
      </c>
      <c r="AC54" s="254">
        <f>'ENGLISH UNITS '!BF59/2.5208</f>
        <v>110.47894716628319</v>
      </c>
      <c r="AD54" s="255">
        <f>'ENGLISH UNITS '!BG59/3.28084</f>
        <v>1828.7999414784019</v>
      </c>
      <c r="AE54" s="256">
        <f>'ENGLISH UNITS '!BH59</f>
        <v>5151.2679659600244</v>
      </c>
      <c r="AF54" s="256">
        <f>IF('ENGLISH UNITS '!BI59="out of range","out of range",'ENGLISH UNITS '!BI59*6.89474)</f>
        <v>0.56878256471820454</v>
      </c>
      <c r="AG54" s="256">
        <f>IF('ENGLISH UNITS '!BJ59="out of range","out of range",'ENGLISH UNITS '!BJ59*6.89474)</f>
        <v>44.373750446882305</v>
      </c>
      <c r="AH54" s="256">
        <f>'ENGLISH UNITS '!BK59</f>
        <v>147.50741468426529</v>
      </c>
      <c r="AI54" s="256">
        <f>IF('ENGLISH UNITS '!BL59="out of range","out of range",'ENGLISH UNITS '!BL59*6.89474)</f>
        <v>1.1375651294364091</v>
      </c>
      <c r="AJ54" s="256">
        <f>IF('ENGLISH UNITS '!BM59="out of range","out of range",'ENGLISH UNITS '!BM59*6.89474)</f>
        <v>75.487457027072878</v>
      </c>
      <c r="AK54" s="256" t="str">
        <f>IF('ENGLISH UNITS '!BN59="out of range","out of range",'ENGLISH UNITS '!BN59*6.89474)</f>
        <v>out of range</v>
      </c>
      <c r="AL54" s="256" t="str">
        <f>IF('ENGLISH UNITS '!BO59="out of range","out of range",'ENGLISH UNITS '!BO59*6.89474)</f>
        <v>out of range</v>
      </c>
    </row>
    <row r="55" spans="2:38" ht="18.75" customHeight="1" x14ac:dyDescent="0.4">
      <c r="B55" s="62"/>
      <c r="C55" s="642" t="s">
        <v>556</v>
      </c>
      <c r="D55" s="642"/>
      <c r="E55" s="642"/>
      <c r="F55" s="642"/>
      <c r="G55" s="642" t="s">
        <v>557</v>
      </c>
      <c r="H55" s="642"/>
      <c r="I55" s="642"/>
      <c r="J55" s="642"/>
      <c r="K55" s="512"/>
      <c r="L55" s="512"/>
      <c r="M55" s="189"/>
      <c r="N55" s="60"/>
      <c r="O55" s="60"/>
    </row>
    <row r="56" spans="2:38" ht="15.75" customHeight="1" x14ac:dyDescent="0.3">
      <c r="B56" s="62"/>
      <c r="C56" s="517" t="s">
        <v>558</v>
      </c>
      <c r="D56" s="517"/>
      <c r="E56" s="517"/>
      <c r="F56" s="518"/>
      <c r="G56" s="519" t="s">
        <v>560</v>
      </c>
      <c r="H56" s="520"/>
      <c r="I56" s="520"/>
      <c r="J56" s="520"/>
      <c r="K56" s="520"/>
      <c r="L56" s="520"/>
      <c r="M56" s="141"/>
      <c r="N56" s="54"/>
      <c r="O56" s="54"/>
    </row>
    <row r="57" spans="2:38" x14ac:dyDescent="0.3">
      <c r="B57" s="62"/>
      <c r="C57" s="514" t="s">
        <v>561</v>
      </c>
      <c r="D57" s="514"/>
      <c r="E57" s="362">
        <f>'ENGLISH UNITS '!E62</f>
        <v>0.99858588416884664</v>
      </c>
      <c r="G57" s="257"/>
      <c r="H57" s="54"/>
      <c r="J57" s="382">
        <f>'ENGLISH UNITS '!J62</f>
        <v>3.1549267394174074E-2</v>
      </c>
      <c r="K57" s="258"/>
      <c r="L57" s="258"/>
      <c r="M57" s="141"/>
      <c r="N57" s="54"/>
      <c r="O57" s="54"/>
    </row>
    <row r="58" spans="2:38" x14ac:dyDescent="0.3">
      <c r="B58" s="62"/>
      <c r="C58" s="514" t="s">
        <v>562</v>
      </c>
      <c r="D58" s="514"/>
      <c r="E58" s="362">
        <f>'ENGLISH UNITS '!E63</f>
        <v>0.98820785787720056</v>
      </c>
      <c r="G58" s="257"/>
      <c r="H58" s="259"/>
      <c r="K58" s="54"/>
      <c r="L58" s="54"/>
      <c r="M58" s="141"/>
      <c r="N58" s="54"/>
      <c r="O58" s="54"/>
    </row>
    <row r="59" spans="2:38" x14ac:dyDescent="0.3">
      <c r="B59" s="62"/>
      <c r="C59" s="514" t="s">
        <v>563</v>
      </c>
      <c r="D59" s="514"/>
      <c r="E59" s="362">
        <f>'ENGLISH UNITS '!E64</f>
        <v>0.89900654191210827</v>
      </c>
      <c r="G59" s="257"/>
      <c r="K59" s="54"/>
      <c r="L59" s="54"/>
      <c r="M59" s="141"/>
      <c r="N59" s="54"/>
      <c r="O59" s="54"/>
    </row>
    <row r="60" spans="2:38" ht="16.2" thickBot="1" x14ac:dyDescent="0.35"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4"/>
      <c r="N60" s="54"/>
      <c r="O60" s="54"/>
    </row>
    <row r="61" spans="2:38" ht="19.5" customHeight="1" thickTop="1" x14ac:dyDescent="0.3">
      <c r="C61" s="334"/>
      <c r="D61" s="54"/>
      <c r="E61" s="335" t="s">
        <v>619</v>
      </c>
      <c r="F61" s="335"/>
      <c r="G61" s="336"/>
      <c r="H61" s="336"/>
      <c r="O61" s="54"/>
    </row>
    <row r="62" spans="2:38" x14ac:dyDescent="0.3">
      <c r="C62" s="54"/>
      <c r="D62" s="54"/>
      <c r="E62" s="90"/>
      <c r="F62" s="90"/>
      <c r="O62" s="54"/>
    </row>
    <row r="63" spans="2:38" x14ac:dyDescent="0.3">
      <c r="C63" s="54"/>
      <c r="D63" s="54"/>
      <c r="O63" s="54"/>
    </row>
    <row r="64" spans="2:38" x14ac:dyDescent="0.3">
      <c r="C64" s="54"/>
      <c r="D64" s="54"/>
      <c r="O64" s="54"/>
    </row>
    <row r="65" spans="3:15" ht="18.75" customHeight="1" x14ac:dyDescent="0.3">
      <c r="C65" s="54"/>
      <c r="D65" s="54"/>
      <c r="I65" s="193"/>
      <c r="O65" s="54"/>
    </row>
    <row r="66" spans="3:15" x14ac:dyDescent="0.3">
      <c r="I66" s="66"/>
      <c r="J66" s="77"/>
      <c r="K66" s="77"/>
      <c r="O66" s="54"/>
    </row>
    <row r="67" spans="3:15" x14ac:dyDescent="0.3">
      <c r="I67" s="66"/>
      <c r="J67" s="77"/>
      <c r="K67" s="77"/>
      <c r="O67" s="54"/>
    </row>
    <row r="68" spans="3:15" x14ac:dyDescent="0.3">
      <c r="I68" s="66"/>
      <c r="J68" s="77"/>
      <c r="K68" s="77"/>
      <c r="O68" s="54"/>
    </row>
    <row r="69" spans="3:15" ht="19.5" customHeight="1" x14ac:dyDescent="0.3">
      <c r="O69" s="54"/>
    </row>
    <row r="70" spans="3:15" x14ac:dyDescent="0.3">
      <c r="I70" s="66"/>
      <c r="O70" s="85"/>
    </row>
    <row r="71" spans="3:15" ht="21" customHeight="1" x14ac:dyDescent="0.3">
      <c r="I71" s="66"/>
      <c r="O71" s="85"/>
    </row>
    <row r="72" spans="3:15" x14ac:dyDescent="0.3">
      <c r="I72" s="66"/>
      <c r="J72" s="337"/>
      <c r="K72" s="337"/>
      <c r="O72" s="85"/>
    </row>
    <row r="73" spans="3:15" ht="20.25" customHeight="1" x14ac:dyDescent="0.3">
      <c r="O73" s="54"/>
    </row>
    <row r="74" spans="3:15" ht="21" customHeight="1" x14ac:dyDescent="0.3">
      <c r="O74" s="54"/>
    </row>
    <row r="75" spans="3:15" x14ac:dyDescent="0.3">
      <c r="O75" s="54"/>
    </row>
    <row r="76" spans="3:15" x14ac:dyDescent="0.3">
      <c r="O76" s="54"/>
    </row>
    <row r="77" spans="3:15" ht="20.25" customHeight="1" x14ac:dyDescent="0.3"/>
    <row r="80" spans="3:15" ht="19.5" customHeight="1" x14ac:dyDescent="0.3"/>
    <row r="89" ht="19.5" customHeight="1" x14ac:dyDescent="0.3"/>
    <row r="91" ht="16.5" customHeight="1" x14ac:dyDescent="0.3"/>
    <row r="95" ht="19.5" customHeight="1" x14ac:dyDescent="0.3"/>
    <row r="102" ht="19.5" customHeight="1" x14ac:dyDescent="0.3"/>
    <row r="109" ht="19.5" customHeight="1" x14ac:dyDescent="0.3"/>
    <row r="111" ht="16.5" customHeight="1" x14ac:dyDescent="0.3"/>
    <row r="113" ht="16.5" customHeight="1" x14ac:dyDescent="0.3"/>
    <row r="117" ht="16.5" customHeight="1" x14ac:dyDescent="0.3"/>
    <row r="119" ht="16.5" customHeight="1" x14ac:dyDescent="0.3"/>
    <row r="126" ht="16.5" customHeight="1" x14ac:dyDescent="0.3"/>
    <row r="128" ht="16.5" customHeight="1" x14ac:dyDescent="0.3"/>
    <row r="135" ht="16.5" customHeight="1" x14ac:dyDescent="0.3"/>
    <row r="137" ht="16.5" customHeight="1" x14ac:dyDescent="0.3"/>
    <row r="144" ht="16.5" customHeight="1" x14ac:dyDescent="0.3"/>
    <row r="146" ht="16.5" customHeight="1" x14ac:dyDescent="0.3"/>
    <row r="153" ht="16.5" customHeight="1" x14ac:dyDescent="0.3"/>
    <row r="155" ht="16.5" customHeight="1" x14ac:dyDescent="0.3"/>
    <row r="161" ht="16.5" customHeight="1" x14ac:dyDescent="0.3"/>
  </sheetData>
  <sheetProtection password="E5C3" sheet="1" objects="1" scenarios="1"/>
  <mergeCells count="82">
    <mergeCell ref="S4:T4"/>
    <mergeCell ref="U4:W4"/>
    <mergeCell ref="AE4:AF4"/>
    <mergeCell ref="AG3:AI3"/>
    <mergeCell ref="AG4:AI4"/>
    <mergeCell ref="P2:Z2"/>
    <mergeCell ref="AC2:AK2"/>
    <mergeCell ref="S3:T3"/>
    <mergeCell ref="U3:W3"/>
    <mergeCell ref="AE3:AF3"/>
    <mergeCell ref="S5:T5"/>
    <mergeCell ref="AE5:AF5"/>
    <mergeCell ref="S6:T6"/>
    <mergeCell ref="U6:W6"/>
    <mergeCell ref="AF11:AG11"/>
    <mergeCell ref="AG5:AI5"/>
    <mergeCell ref="AE6:AF6"/>
    <mergeCell ref="U5:W5"/>
    <mergeCell ref="AE8:AH8"/>
    <mergeCell ref="S9:V9"/>
    <mergeCell ref="AE9:AH9"/>
    <mergeCell ref="AG10:AH10"/>
    <mergeCell ref="S7:T7"/>
    <mergeCell ref="U7:W7"/>
    <mergeCell ref="AE7:AF7"/>
    <mergeCell ref="AG6:AI6"/>
    <mergeCell ref="AG7:AI7"/>
    <mergeCell ref="C6:E6"/>
    <mergeCell ref="C9:E9"/>
    <mergeCell ref="AF12:AG12"/>
    <mergeCell ref="C12:E12"/>
    <mergeCell ref="S8:V8"/>
    <mergeCell ref="G8:L8"/>
    <mergeCell ref="E8:F8"/>
    <mergeCell ref="G11:L12"/>
    <mergeCell ref="F33:G33"/>
    <mergeCell ref="F34:G34"/>
    <mergeCell ref="E4:F4"/>
    <mergeCell ref="C2:L2"/>
    <mergeCell ref="C3:L3"/>
    <mergeCell ref="G9:L9"/>
    <mergeCell ref="G10:L10"/>
    <mergeCell ref="F27:G27"/>
    <mergeCell ref="I26:L26"/>
    <mergeCell ref="I27:L27"/>
    <mergeCell ref="E27:E28"/>
    <mergeCell ref="C14:L14"/>
    <mergeCell ref="C16:E16"/>
    <mergeCell ref="F28:G28"/>
    <mergeCell ref="I16:L16"/>
    <mergeCell ref="F50:G50"/>
    <mergeCell ref="C26:G26"/>
    <mergeCell ref="F45:G45"/>
    <mergeCell ref="F46:G46"/>
    <mergeCell ref="F47:G47"/>
    <mergeCell ref="F48:G48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C59:D59"/>
    <mergeCell ref="S11:V11"/>
    <mergeCell ref="C55:F55"/>
    <mergeCell ref="G55:L55"/>
    <mergeCell ref="C56:F56"/>
    <mergeCell ref="G56:L56"/>
    <mergeCell ref="C57:D57"/>
    <mergeCell ref="C58:D58"/>
    <mergeCell ref="F41:G41"/>
    <mergeCell ref="F42:G42"/>
    <mergeCell ref="F43:G43"/>
    <mergeCell ref="F44:G44"/>
    <mergeCell ref="F53:G53"/>
    <mergeCell ref="F51:G51"/>
    <mergeCell ref="F52:G52"/>
    <mergeCell ref="F49:G49"/>
  </mergeCells>
  <phoneticPr fontId="0" type="noConversion"/>
  <dataValidations count="3">
    <dataValidation type="decimal" operator="greaterThan" allowBlank="1" showInputMessage="1" showErrorMessage="1" errorTitle="SUMMARY TABLE RANGE LIMITS!" error="Summary Table Range must be greater than 0." sqref="W11">
      <formula1>0</formula1>
    </dataValidation>
    <dataValidation type="decimal" operator="greaterThan" allowBlank="1" showInputMessage="1" showErrorMessage="1" errorTitle="RANGE LIMITS!" error="Range must be greater than 0." sqref="J6:K6">
      <formula1>0</formula1>
    </dataValidation>
    <dataValidation type="decimal" allowBlank="1" showInputMessage="1" showErrorMessage="1" errorTitle="                ALTITUDE WARNING" error="Out of Range!  _x000a_Altitude must be between -500 and 12,000 feet." sqref="M9:O9">
      <formula1>-500</formula1>
      <formula2>12000</formula2>
    </dataValidation>
  </dataValidations>
  <printOptions horizontalCentered="1"/>
  <pageMargins left="0.75" right="0.75" top="1" bottom="1" header="0.5" footer="0.5"/>
  <pageSetup scale="54" pageOrder="overThenDown" orientation="portrait" horizontalDpi="4294967292" verticalDpi="4294967292" r:id="rId1"/>
  <headerFooter alignWithMargins="0">
    <oddHeader xml:space="preserve">&amp;C&amp;"Times New Roman,Bold"&amp;24BLAST EFFECTS COMPUTER - OPEN&amp;14
&amp;"Times New Roman,Italic"&amp;18(Version 1.0)&amp;"Times New Roman,Bold"&amp;14
</oddHeader>
    <oddFooter>&amp;C&amp;"Charcoal,Bold"&amp;10&amp;D  &amp;T</oddFooter>
  </headerFooter>
  <rowBreaks count="1" manualBreakCount="1">
    <brk id="61" max="16383" man="1"/>
  </rowBreaks>
  <colBreaks count="1" manualBreakCount="1">
    <brk id="14" max="1048575" man="1"/>
  </colBreaks>
  <ignoredErrors>
    <ignoredError sqref="P1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CL273"/>
  <sheetViews>
    <sheetView tabSelected="1" zoomScaleNormal="100" zoomScaleSheetLayoutView="70" workbookViewId="0">
      <selection activeCell="AS5" sqref="AS5"/>
    </sheetView>
  </sheetViews>
  <sheetFormatPr defaultColWidth="10.88671875" defaultRowHeight="15.6" x14ac:dyDescent="0.3"/>
  <cols>
    <col min="1" max="2" width="1.77734375" style="53" customWidth="1"/>
    <col min="3" max="3" width="22.109375" style="53" customWidth="1"/>
    <col min="4" max="4" width="14.44140625" style="53" customWidth="1"/>
    <col min="5" max="5" width="13.109375" style="53" customWidth="1"/>
    <col min="6" max="6" width="13.77734375" style="53" customWidth="1"/>
    <col min="7" max="7" width="6.88671875" style="53" customWidth="1"/>
    <col min="8" max="8" width="2.21875" style="53" customWidth="1"/>
    <col min="9" max="9" width="22.6640625" style="53" customWidth="1"/>
    <col min="10" max="11" width="9.109375" style="53" customWidth="1"/>
    <col min="12" max="12" width="17.33203125" style="53" customWidth="1"/>
    <col min="13" max="14" width="1.77734375" style="53" customWidth="1"/>
    <col min="15" max="15" width="17.6640625" style="54" hidden="1" customWidth="1"/>
    <col min="16" max="16" width="42.6640625" style="54" hidden="1" customWidth="1"/>
    <col min="17" max="17" width="20" style="54" hidden="1" customWidth="1"/>
    <col min="18" max="18" width="23.33203125" style="54" hidden="1" customWidth="1"/>
    <col min="19" max="19" width="5.6640625" style="54" hidden="1" customWidth="1"/>
    <col min="20" max="20" width="44" style="54" hidden="1" customWidth="1"/>
    <col min="21" max="21" width="15.21875" style="54" hidden="1" customWidth="1"/>
    <col min="22" max="22" width="18.109375" style="54" hidden="1" customWidth="1"/>
    <col min="23" max="23" width="10.6640625" style="54" hidden="1" customWidth="1"/>
    <col min="24" max="24" width="24.6640625" style="54" hidden="1" customWidth="1"/>
    <col min="25" max="25" width="13.33203125" style="54" hidden="1" customWidth="1"/>
    <col min="26" max="26" width="19.6640625" style="54" hidden="1" customWidth="1"/>
    <col min="27" max="27" width="14.109375" style="54" hidden="1" customWidth="1"/>
    <col min="28" max="28" width="10.21875" style="54" hidden="1" customWidth="1"/>
    <col min="29" max="38" width="8.77734375" style="54" hidden="1" customWidth="1"/>
    <col min="39" max="40" width="9.109375" style="54" hidden="1" customWidth="1"/>
    <col min="41" max="41" width="14.33203125" style="109" hidden="1" customWidth="1"/>
    <col min="42" max="42" width="15.109375" style="54" hidden="1" customWidth="1"/>
    <col min="43" max="43" width="17.109375" style="54" hidden="1" customWidth="1"/>
    <col min="44" max="44" width="11.88671875" style="53" customWidth="1"/>
    <col min="45" max="45" width="15.88671875" style="53" customWidth="1"/>
    <col min="46" max="46" width="15.88671875" style="53" hidden="1" customWidth="1"/>
    <col min="47" max="47" width="10.88671875" style="53" customWidth="1"/>
    <col min="48" max="48" width="12.88671875" style="53" customWidth="1"/>
    <col min="49" max="49" width="12.109375" style="53" customWidth="1"/>
    <col min="50" max="50" width="14.44140625" style="53" customWidth="1"/>
    <col min="51" max="51" width="13.109375" style="53" customWidth="1"/>
    <col min="52" max="55" width="14.44140625" style="53" customWidth="1"/>
    <col min="56" max="56" width="13.109375" style="53" customWidth="1"/>
    <col min="57" max="59" width="14.44140625" style="53" customWidth="1"/>
    <col min="60" max="60" width="14.6640625" style="53" customWidth="1"/>
    <col min="61" max="61" width="14.44140625" style="53" customWidth="1"/>
    <col min="62" max="62" width="10.88671875" style="53" customWidth="1"/>
    <col min="63" max="63" width="14.6640625" style="53" customWidth="1"/>
    <col min="64" max="64" width="14.109375" style="53" customWidth="1"/>
    <col min="65" max="66" width="13.6640625" style="53" customWidth="1"/>
    <col min="67" max="67" width="13.6640625" style="55" customWidth="1"/>
    <col min="68" max="73" width="13.6640625" style="56" customWidth="1"/>
    <col min="74" max="76" width="13.6640625" style="57" customWidth="1"/>
    <col min="77" max="77" width="10.88671875" style="53" customWidth="1"/>
    <col min="78" max="78" width="12.77734375" style="53" customWidth="1"/>
    <col min="79" max="89" width="13.6640625" style="53" customWidth="1"/>
    <col min="90" max="16384" width="10.88671875" style="53"/>
  </cols>
  <sheetData>
    <row r="1" spans="2:76" ht="15" customHeight="1" thickBot="1" x14ac:dyDescent="0.35">
      <c r="C1" s="472" t="s">
        <v>622</v>
      </c>
    </row>
    <row r="2" spans="2:76" ht="31.2" thickTop="1" thickBot="1" x14ac:dyDescent="0.55000000000000004">
      <c r="B2" s="58"/>
      <c r="C2" s="605" t="s">
        <v>2</v>
      </c>
      <c r="D2" s="605"/>
      <c r="E2" s="606"/>
      <c r="F2" s="606"/>
      <c r="G2" s="606"/>
      <c r="H2" s="606"/>
      <c r="I2" s="606"/>
      <c r="J2" s="606"/>
      <c r="K2" s="606"/>
      <c r="L2" s="606"/>
      <c r="M2" s="59"/>
      <c r="N2" s="60"/>
      <c r="Z2" s="61" t="s">
        <v>517</v>
      </c>
      <c r="AR2" s="57"/>
      <c r="AS2" s="54"/>
      <c r="AT2" s="54"/>
      <c r="AU2" s="56"/>
      <c r="AV2" s="56"/>
      <c r="AW2" s="56"/>
      <c r="AX2" s="56"/>
      <c r="AY2" s="56"/>
      <c r="AZ2" s="56"/>
      <c r="BA2" s="57"/>
      <c r="BB2" s="57"/>
      <c r="BC2" s="57"/>
      <c r="BH2" s="57"/>
      <c r="BO2" s="53"/>
    </row>
    <row r="3" spans="2:76" ht="19.5" customHeight="1" x14ac:dyDescent="0.4">
      <c r="B3" s="62"/>
      <c r="C3" s="686" t="s">
        <v>546</v>
      </c>
      <c r="D3" s="686"/>
      <c r="E3" s="686"/>
      <c r="F3" s="686"/>
      <c r="G3" s="686"/>
      <c r="H3" s="686"/>
      <c r="I3" s="686"/>
      <c r="J3" s="686"/>
      <c r="K3" s="686"/>
      <c r="L3" s="686"/>
      <c r="M3" s="63"/>
      <c r="N3" s="64"/>
      <c r="O3" s="65" t="s">
        <v>248</v>
      </c>
      <c r="X3" s="66" t="s">
        <v>480</v>
      </c>
      <c r="Y3" s="67">
        <f>Q49</f>
        <v>4.6415888336127775</v>
      </c>
      <c r="Z3" s="612" t="s">
        <v>227</v>
      </c>
      <c r="AA3" s="614" t="s">
        <v>228</v>
      </c>
      <c r="AB3" s="632" t="s">
        <v>616</v>
      </c>
      <c r="AC3" s="587" t="s">
        <v>148</v>
      </c>
      <c r="AD3" s="588"/>
      <c r="AE3" s="588"/>
      <c r="AF3" s="588"/>
      <c r="AG3" s="588"/>
      <c r="AH3" s="588"/>
      <c r="AI3" s="589"/>
      <c r="AJ3" s="631" t="s">
        <v>266</v>
      </c>
      <c r="AK3" s="551" t="s">
        <v>267</v>
      </c>
      <c r="AL3" s="552"/>
      <c r="AM3" s="551" t="s">
        <v>265</v>
      </c>
      <c r="AN3" s="589"/>
      <c r="AO3" s="683" t="s">
        <v>229</v>
      </c>
      <c r="AP3" s="618" t="s">
        <v>149</v>
      </c>
      <c r="AU3" s="523" t="s">
        <v>81</v>
      </c>
      <c r="AV3" s="523"/>
      <c r="AW3" s="523"/>
      <c r="AX3" s="523"/>
      <c r="AY3" s="523"/>
      <c r="AZ3" s="523"/>
      <c r="BA3" s="523"/>
      <c r="BB3" s="523"/>
      <c r="BC3" s="523"/>
      <c r="BD3" s="106"/>
      <c r="BF3" s="523" t="s">
        <v>84</v>
      </c>
      <c r="BG3" s="523"/>
      <c r="BH3" s="523"/>
      <c r="BI3" s="523"/>
      <c r="BJ3" s="523"/>
      <c r="BK3" s="523"/>
      <c r="BL3" s="523"/>
      <c r="BM3" s="523"/>
      <c r="BN3" s="523"/>
      <c r="BO3" s="53"/>
      <c r="BU3" s="57"/>
      <c r="BX3" s="53"/>
    </row>
    <row r="4" spans="2:76" ht="23.4" thickBot="1" x14ac:dyDescent="0.45">
      <c r="B4" s="62"/>
      <c r="C4" s="61" t="s">
        <v>51</v>
      </c>
      <c r="D4" s="61"/>
      <c r="E4" s="495" t="s">
        <v>222</v>
      </c>
      <c r="F4" s="495"/>
      <c r="G4" s="54"/>
      <c r="H4" s="54"/>
      <c r="I4" s="462" t="s">
        <v>236</v>
      </c>
      <c r="J4" s="54"/>
      <c r="K4" s="495" t="s">
        <v>33</v>
      </c>
      <c r="L4" s="495"/>
      <c r="M4" s="71"/>
      <c r="N4" s="72"/>
      <c r="O4" s="73" t="s">
        <v>118</v>
      </c>
      <c r="P4" s="74" t="s">
        <v>108</v>
      </c>
      <c r="Q4" s="74" t="s">
        <v>113</v>
      </c>
      <c r="R4" s="368" t="s">
        <v>286</v>
      </c>
      <c r="S4" s="75"/>
      <c r="T4" s="75" t="s">
        <v>224</v>
      </c>
      <c r="U4" s="76" t="s">
        <v>118</v>
      </c>
      <c r="X4" s="66" t="s">
        <v>230</v>
      </c>
      <c r="Y4" s="77">
        <f>Q48</f>
        <v>22050</v>
      </c>
      <c r="Z4" s="613"/>
      <c r="AA4" s="615"/>
      <c r="AB4" s="633"/>
      <c r="AC4" s="78" t="s">
        <v>87</v>
      </c>
      <c r="AD4" s="79" t="s">
        <v>88</v>
      </c>
      <c r="AE4" s="79" t="s">
        <v>89</v>
      </c>
      <c r="AF4" s="79" t="s">
        <v>37</v>
      </c>
      <c r="AG4" s="79" t="s">
        <v>90</v>
      </c>
      <c r="AH4" s="79" t="s">
        <v>91</v>
      </c>
      <c r="AI4" s="80" t="s">
        <v>92</v>
      </c>
      <c r="AJ4" s="550"/>
      <c r="AK4" s="81" t="s">
        <v>261</v>
      </c>
      <c r="AL4" s="81" t="s">
        <v>262</v>
      </c>
      <c r="AM4" s="81" t="s">
        <v>263</v>
      </c>
      <c r="AN4" s="82" t="s">
        <v>264</v>
      </c>
      <c r="AO4" s="684"/>
      <c r="AP4" s="619"/>
      <c r="AS4" s="107"/>
      <c r="AT4" s="108"/>
      <c r="AU4" s="109"/>
      <c r="BA4" s="57"/>
      <c r="BB4" s="72"/>
      <c r="BC4" s="57"/>
      <c r="BF4" s="110"/>
      <c r="BG4" s="110"/>
      <c r="BM4" s="110"/>
      <c r="BN4" s="110"/>
      <c r="BO4" s="53"/>
      <c r="BU4" s="57"/>
      <c r="BX4" s="53"/>
    </row>
    <row r="5" spans="2:76" ht="18.600000000000001" thickBot="1" x14ac:dyDescent="0.4">
      <c r="B5" s="62"/>
      <c r="C5" s="468" t="s">
        <v>50</v>
      </c>
      <c r="D5" s="61"/>
      <c r="E5" s="629" t="s">
        <v>223</v>
      </c>
      <c r="F5" s="629"/>
      <c r="I5" s="469" t="s">
        <v>95</v>
      </c>
      <c r="K5" s="685" t="s">
        <v>577</v>
      </c>
      <c r="L5" s="685"/>
      <c r="M5" s="71"/>
      <c r="N5" s="72"/>
      <c r="O5" s="84">
        <v>1</v>
      </c>
      <c r="P5" s="53" t="s">
        <v>56</v>
      </c>
      <c r="Q5" s="77" t="s">
        <v>400</v>
      </c>
      <c r="R5" s="77" t="str">
        <f>Q5</f>
        <v>Total NEW (kg)</v>
      </c>
      <c r="S5" s="53"/>
      <c r="T5" s="53" t="s">
        <v>57</v>
      </c>
      <c r="U5" s="85">
        <v>1</v>
      </c>
      <c r="X5" s="66" t="s">
        <v>481</v>
      </c>
      <c r="Y5" s="86">
        <f>Q47</f>
        <v>10000</v>
      </c>
      <c r="Z5" s="587" t="s">
        <v>144</v>
      </c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8"/>
      <c r="AL5" s="588"/>
      <c r="AM5" s="588"/>
      <c r="AN5" s="588"/>
      <c r="AO5" s="588"/>
      <c r="AP5" s="589"/>
      <c r="AS5" s="106"/>
      <c r="AT5" s="112"/>
      <c r="AU5" s="56"/>
      <c r="AW5" s="538" t="s">
        <v>80</v>
      </c>
      <c r="AX5" s="539"/>
      <c r="AY5" s="535" t="str">
        <f>T23</f>
        <v>Open Storage/STANDARD</v>
      </c>
      <c r="AZ5" s="536"/>
      <c r="BA5" s="537"/>
      <c r="BC5" s="316"/>
      <c r="BD5" s="106"/>
      <c r="BG5" s="109"/>
      <c r="BH5" s="538" t="s">
        <v>80</v>
      </c>
      <c r="BI5" s="539"/>
      <c r="BJ5" s="535" t="str">
        <f>T23</f>
        <v>Open Storage/STANDARD</v>
      </c>
      <c r="BK5" s="536"/>
      <c r="BL5" s="537"/>
      <c r="BM5" s="57"/>
      <c r="BO5" s="53"/>
      <c r="BT5" s="57"/>
      <c r="BU5" s="57"/>
      <c r="BW5" s="53"/>
      <c r="BX5" s="53"/>
    </row>
    <row r="6" spans="2:76" s="90" customFormat="1" ht="18.600000000000001" thickBot="1" x14ac:dyDescent="0.4">
      <c r="B6" s="87"/>
      <c r="C6" s="88"/>
      <c r="D6" s="88"/>
      <c r="E6" s="88"/>
      <c r="F6" s="88"/>
      <c r="G6" s="88"/>
      <c r="H6" s="88"/>
      <c r="I6" s="50">
        <v>100</v>
      </c>
      <c r="J6" s="88"/>
      <c r="K6" s="88"/>
      <c r="L6" s="88"/>
      <c r="M6" s="89"/>
      <c r="N6" s="88"/>
      <c r="O6" s="84">
        <v>2</v>
      </c>
      <c r="P6" s="53" t="s">
        <v>72</v>
      </c>
      <c r="Q6" s="77" t="s">
        <v>231</v>
      </c>
      <c r="R6" s="77" t="str">
        <f>IF(Q24=1,"",Q6)</f>
        <v/>
      </c>
      <c r="S6" s="53"/>
      <c r="T6" s="53"/>
      <c r="U6" s="85"/>
      <c r="Z6" s="91" t="s">
        <v>58</v>
      </c>
      <c r="AA6" s="92">
        <v>1</v>
      </c>
      <c r="AB6" s="442">
        <v>1</v>
      </c>
      <c r="AC6" s="94">
        <v>0</v>
      </c>
      <c r="AD6" s="95">
        <v>0</v>
      </c>
      <c r="AE6" s="95">
        <v>0</v>
      </c>
      <c r="AF6" s="95">
        <v>0</v>
      </c>
      <c r="AG6" s="95">
        <v>0</v>
      </c>
      <c r="AH6" s="95">
        <v>0</v>
      </c>
      <c r="AI6" s="96">
        <v>0</v>
      </c>
      <c r="AJ6" s="97">
        <f t="shared" ref="AJ6" si="0">EXP(AC6+AD6*LN($Y$3)+AE6*(LN($Y$3))^2+AF6*(LN($Y$3))^3+AG6*(LN($Y$3))^4+AH6*(LN($Y$3))^5+AI6*(LN($Y$3))^6)</f>
        <v>1</v>
      </c>
      <c r="AK6" s="92"/>
      <c r="AL6" s="92"/>
      <c r="AM6" s="92"/>
      <c r="AN6" s="93"/>
      <c r="AO6" s="98">
        <f>Y5*AA6</f>
        <v>10000</v>
      </c>
      <c r="AP6" s="438">
        <f t="shared" ref="AP6" si="1">AO6*$Q$38/AA6</f>
        <v>10000</v>
      </c>
      <c r="AQ6" s="54" t="s">
        <v>258</v>
      </c>
      <c r="AS6" s="106"/>
      <c r="AT6" s="112"/>
      <c r="AU6" s="56"/>
      <c r="AW6" s="530" t="s">
        <v>226</v>
      </c>
      <c r="AX6" s="663"/>
      <c r="AY6" s="535" t="str">
        <f>T24</f>
        <v>Bulk/Light Cased:  STANDARD</v>
      </c>
      <c r="AZ6" s="664"/>
      <c r="BA6" s="665"/>
      <c r="BC6" s="302"/>
      <c r="BD6" s="106"/>
      <c r="BE6" s="53"/>
      <c r="BF6" s="53"/>
      <c r="BG6" s="56"/>
      <c r="BH6" s="530" t="s">
        <v>226</v>
      </c>
      <c r="BI6" s="532"/>
      <c r="BJ6" s="535" t="str">
        <f>T24</f>
        <v>Bulk/Light Cased:  STANDARD</v>
      </c>
      <c r="BK6" s="536"/>
      <c r="BL6" s="537"/>
      <c r="BM6" s="57"/>
      <c r="BN6" s="53"/>
      <c r="BO6" s="53"/>
      <c r="BP6" s="100"/>
      <c r="BQ6" s="100"/>
      <c r="BR6" s="100"/>
      <c r="BS6" s="100"/>
      <c r="BT6" s="101"/>
      <c r="BU6" s="101"/>
      <c r="BV6" s="101"/>
    </row>
    <row r="7" spans="2:76" ht="16.5" customHeight="1" thickBot="1" x14ac:dyDescent="0.4">
      <c r="B7" s="62"/>
      <c r="C7" s="61" t="s">
        <v>31</v>
      </c>
      <c r="D7" s="61"/>
      <c r="E7" s="495" t="s">
        <v>36</v>
      </c>
      <c r="F7" s="495"/>
      <c r="G7" s="88"/>
      <c r="H7" s="88"/>
      <c r="J7" s="88"/>
      <c r="K7" s="88"/>
      <c r="L7" s="72"/>
      <c r="M7" s="71"/>
      <c r="N7" s="72"/>
      <c r="O7" s="84">
        <v>3</v>
      </c>
      <c r="P7" s="53" t="s">
        <v>73</v>
      </c>
      <c r="Q7" s="53"/>
      <c r="R7" s="53"/>
      <c r="S7" s="53"/>
      <c r="T7" s="53"/>
      <c r="U7" s="85"/>
      <c r="Z7" s="91"/>
      <c r="AA7" s="92"/>
      <c r="AB7" s="443"/>
      <c r="AC7" s="102"/>
      <c r="AD7" s="103"/>
      <c r="AE7" s="103"/>
      <c r="AF7" s="103"/>
      <c r="AG7" s="103"/>
      <c r="AH7" s="103"/>
      <c r="AI7" s="104"/>
      <c r="AJ7" s="447"/>
      <c r="AK7" s="342"/>
      <c r="AL7" s="117"/>
      <c r="AM7" s="117"/>
      <c r="AN7" s="341"/>
      <c r="AO7" s="98"/>
      <c r="AP7" s="438"/>
      <c r="AQ7" s="54" t="s">
        <v>272</v>
      </c>
      <c r="AS7" s="106"/>
      <c r="AT7" s="55"/>
      <c r="AW7" s="530" t="str">
        <f>IF($Q$26=2, "Number of Munitions","")</f>
        <v/>
      </c>
      <c r="AX7" s="663"/>
      <c r="AY7" s="524" t="str">
        <f>IF($Q$26=2, $E$9,"")</f>
        <v/>
      </c>
      <c r="AZ7" s="525"/>
      <c r="BA7" s="526"/>
      <c r="BD7" s="106"/>
      <c r="BH7" s="530" t="str">
        <f>IF($Q$26=2, "Number of Munitions","")</f>
        <v/>
      </c>
      <c r="BI7" s="663"/>
      <c r="BJ7" s="524" t="str">
        <f>IF($Q$26=2, $E$9,"")</f>
        <v/>
      </c>
      <c r="BK7" s="525"/>
      <c r="BL7" s="526"/>
      <c r="BO7" s="53"/>
      <c r="BT7" s="57"/>
      <c r="BU7" s="57"/>
      <c r="BW7" s="53"/>
      <c r="BX7" s="53"/>
    </row>
    <row r="8" spans="2:76" ht="23.4" thickBot="1" x14ac:dyDescent="0.45">
      <c r="B8" s="62"/>
      <c r="C8" s="468" t="s">
        <v>221</v>
      </c>
      <c r="D8" s="61"/>
      <c r="E8" s="630" t="str">
        <f>IF(OR(T26="Total NEW (kg)",T26=""), "Total NEW (kg)","Number of Munitions")</f>
        <v>Total NEW (kg)</v>
      </c>
      <c r="F8" s="630"/>
      <c r="G8" s="88"/>
      <c r="H8" s="88"/>
      <c r="I8" s="423" t="s">
        <v>611</v>
      </c>
      <c r="K8" s="495" t="s">
        <v>580</v>
      </c>
      <c r="L8" s="495"/>
      <c r="M8" s="71"/>
      <c r="N8" s="72"/>
      <c r="O8" s="84">
        <v>4</v>
      </c>
      <c r="P8" s="53" t="s">
        <v>39</v>
      </c>
      <c r="Q8" s="75" t="s">
        <v>114</v>
      </c>
      <c r="R8" s="75"/>
      <c r="S8" s="53"/>
      <c r="T8" s="53"/>
      <c r="U8" s="85"/>
      <c r="Z8" s="91"/>
      <c r="AA8" s="92"/>
      <c r="AB8" s="441"/>
      <c r="AC8" s="102"/>
      <c r="AD8" s="103"/>
      <c r="AE8" s="103"/>
      <c r="AF8" s="103"/>
      <c r="AG8" s="103"/>
      <c r="AH8" s="103"/>
      <c r="AI8" s="104"/>
      <c r="AJ8" s="447"/>
      <c r="AK8" s="342"/>
      <c r="AL8" s="117"/>
      <c r="AM8" s="117"/>
      <c r="AN8" s="341"/>
      <c r="AO8" s="98"/>
      <c r="AP8" s="438"/>
      <c r="AQ8" s="54" t="s">
        <v>272</v>
      </c>
      <c r="AT8" s="377"/>
      <c r="AW8" s="533" t="s">
        <v>400</v>
      </c>
      <c r="AX8" s="534"/>
      <c r="AY8" s="524">
        <f>$E$21</f>
        <v>10000</v>
      </c>
      <c r="AZ8" s="525"/>
      <c r="BA8" s="526"/>
      <c r="BD8" s="106"/>
      <c r="BH8" s="533" t="s">
        <v>400</v>
      </c>
      <c r="BI8" s="534"/>
      <c r="BJ8" s="524">
        <f>$E$21</f>
        <v>10000</v>
      </c>
      <c r="BK8" s="525"/>
      <c r="BL8" s="526"/>
      <c r="BO8" s="53"/>
      <c r="BT8" s="57"/>
      <c r="BU8" s="57"/>
      <c r="BW8" s="53"/>
      <c r="BX8" s="53"/>
    </row>
    <row r="9" spans="2:76" ht="18.600000000000001" thickBot="1" x14ac:dyDescent="0.4">
      <c r="B9" s="62"/>
      <c r="C9" s="88"/>
      <c r="D9" s="88"/>
      <c r="E9" s="496">
        <v>10000</v>
      </c>
      <c r="F9" s="497"/>
      <c r="I9" s="50">
        <v>15</v>
      </c>
      <c r="K9" s="496">
        <v>81.349999999999994</v>
      </c>
      <c r="L9" s="497"/>
      <c r="M9" s="71"/>
      <c r="N9" s="72"/>
      <c r="O9" s="84">
        <v>5</v>
      </c>
      <c r="P9" s="53" t="s">
        <v>98</v>
      </c>
      <c r="Q9" s="77" t="s">
        <v>406</v>
      </c>
      <c r="R9" s="77"/>
      <c r="S9" s="53"/>
      <c r="T9" s="53"/>
      <c r="U9" s="85"/>
      <c r="Z9" s="91"/>
      <c r="AA9" s="92"/>
      <c r="AB9" s="441"/>
      <c r="AC9" s="102"/>
      <c r="AD9" s="103"/>
      <c r="AE9" s="103"/>
      <c r="AF9" s="103"/>
      <c r="AG9" s="103"/>
      <c r="AH9" s="103"/>
      <c r="AI9" s="104"/>
      <c r="AJ9" s="447"/>
      <c r="AK9" s="342"/>
      <c r="AL9" s="117"/>
      <c r="AM9" s="117"/>
      <c r="AN9" s="341"/>
      <c r="AO9" s="98"/>
      <c r="AP9" s="438"/>
      <c r="AQ9" s="54" t="s">
        <v>272</v>
      </c>
      <c r="AS9" s="106"/>
      <c r="AT9" s="55"/>
      <c r="AU9" s="56"/>
      <c r="AW9" s="533" t="s">
        <v>590</v>
      </c>
      <c r="AX9" s="534"/>
      <c r="AY9" s="524" t="str">
        <f>D23</f>
        <v>TNT</v>
      </c>
      <c r="AZ9" s="525"/>
      <c r="BA9" s="526"/>
      <c r="BB9" s="114"/>
      <c r="BC9" s="114"/>
      <c r="BD9" s="106"/>
      <c r="BG9" s="56"/>
      <c r="BH9" s="533" t="s">
        <v>590</v>
      </c>
      <c r="BI9" s="534"/>
      <c r="BJ9" s="524" t="str">
        <f>D23</f>
        <v>TNT</v>
      </c>
      <c r="BK9" s="525"/>
      <c r="BL9" s="526"/>
      <c r="BM9" s="114"/>
      <c r="BO9" s="53"/>
      <c r="BT9" s="57"/>
      <c r="BU9" s="57"/>
      <c r="BW9" s="53"/>
      <c r="BX9" s="53"/>
    </row>
    <row r="10" spans="2:76" ht="16.8" thickBot="1" x14ac:dyDescent="0.4">
      <c r="B10" s="62"/>
      <c r="C10" s="111"/>
      <c r="D10" s="111"/>
      <c r="E10" s="72"/>
      <c r="F10" s="72"/>
      <c r="G10" s="88"/>
      <c r="H10" s="88"/>
      <c r="K10" s="495" t="s">
        <v>610</v>
      </c>
      <c r="L10" s="495"/>
      <c r="M10" s="71"/>
      <c r="N10" s="72"/>
      <c r="O10" s="84">
        <v>6</v>
      </c>
      <c r="P10" s="53" t="s">
        <v>99</v>
      </c>
      <c r="Q10" s="77" t="s">
        <v>454</v>
      </c>
      <c r="R10" s="77"/>
      <c r="S10" s="53"/>
      <c r="T10" s="53"/>
      <c r="U10" s="85"/>
      <c r="Z10" s="91"/>
      <c r="AA10" s="92"/>
      <c r="AB10" s="441"/>
      <c r="AC10" s="102"/>
      <c r="AD10" s="103"/>
      <c r="AE10" s="103"/>
      <c r="AF10" s="103"/>
      <c r="AG10" s="103"/>
      <c r="AH10" s="103"/>
      <c r="AI10" s="104"/>
      <c r="AJ10" s="447"/>
      <c r="AK10" s="342"/>
      <c r="AL10" s="117"/>
      <c r="AM10" s="117"/>
      <c r="AN10" s="341"/>
      <c r="AO10" s="98"/>
      <c r="AP10" s="438"/>
      <c r="AQ10" s="54" t="s">
        <v>272</v>
      </c>
      <c r="AS10" s="106"/>
      <c r="AT10" s="55"/>
      <c r="AU10" s="56"/>
      <c r="AV10" s="301"/>
      <c r="AW10" s="527" t="s">
        <v>82</v>
      </c>
      <c r="AX10" s="528"/>
      <c r="AY10" s="528"/>
      <c r="AZ10" s="529"/>
      <c r="BA10" s="118">
        <f>Q38</f>
        <v>1</v>
      </c>
      <c r="BB10" s="114"/>
      <c r="BC10" s="114"/>
      <c r="BD10" s="106"/>
      <c r="BG10" s="56"/>
      <c r="BH10" s="527" t="s">
        <v>82</v>
      </c>
      <c r="BI10" s="528"/>
      <c r="BJ10" s="528"/>
      <c r="BK10" s="529"/>
      <c r="BL10" s="118">
        <f>Q38</f>
        <v>1</v>
      </c>
      <c r="BM10" s="114"/>
      <c r="BO10" s="53"/>
      <c r="BT10" s="57"/>
      <c r="BU10" s="57"/>
      <c r="BW10" s="53"/>
      <c r="BX10" s="53"/>
    </row>
    <row r="11" spans="2:76" ht="18.600000000000001" thickBot="1" x14ac:dyDescent="0.4">
      <c r="B11" s="62"/>
      <c r="C11" s="111" t="s">
        <v>123</v>
      </c>
      <c r="D11" s="111"/>
      <c r="G11" s="88"/>
      <c r="H11" s="88"/>
      <c r="K11" s="496">
        <v>0</v>
      </c>
      <c r="L11" s="497"/>
      <c r="M11" s="71"/>
      <c r="N11" s="72"/>
      <c r="O11" s="84">
        <v>7</v>
      </c>
      <c r="P11" s="53" t="s">
        <v>100</v>
      </c>
      <c r="S11" s="53"/>
      <c r="T11" s="53"/>
      <c r="U11" s="85"/>
      <c r="Z11" s="91"/>
      <c r="AA11" s="92"/>
      <c r="AB11" s="441"/>
      <c r="AC11" s="451"/>
      <c r="AD11" s="103"/>
      <c r="AE11" s="103"/>
      <c r="AF11" s="103"/>
      <c r="AG11" s="103"/>
      <c r="AH11" s="103"/>
      <c r="AI11" s="104"/>
      <c r="AJ11" s="447"/>
      <c r="AK11" s="342"/>
      <c r="AL11" s="117"/>
      <c r="AM11" s="117"/>
      <c r="AN11" s="341"/>
      <c r="AO11" s="98"/>
      <c r="AP11" s="438"/>
      <c r="AQ11" s="54" t="s">
        <v>273</v>
      </c>
      <c r="AS11" s="106"/>
      <c r="AT11" s="55"/>
      <c r="AU11" s="56"/>
      <c r="AV11" s="301"/>
      <c r="AW11" s="530" t="s">
        <v>83</v>
      </c>
      <c r="AX11" s="531"/>
      <c r="AY11" s="531"/>
      <c r="AZ11" s="532"/>
      <c r="BA11" s="118">
        <f>Q39</f>
        <v>1</v>
      </c>
      <c r="BB11" s="114"/>
      <c r="BC11" s="114"/>
      <c r="BD11" s="106"/>
      <c r="BH11" s="530" t="s">
        <v>83</v>
      </c>
      <c r="BI11" s="531"/>
      <c r="BJ11" s="531"/>
      <c r="BK11" s="532"/>
      <c r="BL11" s="118">
        <f>Q39</f>
        <v>1</v>
      </c>
      <c r="BM11" s="72"/>
      <c r="BN11" s="72"/>
      <c r="BO11" s="311"/>
      <c r="BT11" s="57"/>
      <c r="BU11" s="57"/>
      <c r="BW11" s="53"/>
      <c r="BX11" s="53"/>
    </row>
    <row r="12" spans="2:76" ht="16.8" thickBot="1" x14ac:dyDescent="0.4">
      <c r="B12" s="62"/>
      <c r="C12" s="88"/>
      <c r="D12" s="88"/>
      <c r="G12" s="88"/>
      <c r="H12" s="88"/>
      <c r="M12" s="71"/>
      <c r="N12" s="72"/>
      <c r="O12" s="84">
        <v>8</v>
      </c>
      <c r="P12" s="53" t="s">
        <v>581</v>
      </c>
      <c r="S12" s="53"/>
      <c r="T12" s="53"/>
      <c r="U12" s="85"/>
      <c r="Z12" s="91"/>
      <c r="AA12" s="92"/>
      <c r="AB12" s="441"/>
      <c r="AC12" s="450"/>
      <c r="AD12" s="450"/>
      <c r="AE12" s="450"/>
      <c r="AF12" s="450"/>
      <c r="AG12" s="450"/>
      <c r="AH12" s="450"/>
      <c r="AI12" s="450"/>
      <c r="AJ12" s="447"/>
      <c r="AK12" s="342"/>
      <c r="AL12" s="117"/>
      <c r="AM12" s="117"/>
      <c r="AN12" s="341"/>
      <c r="AO12" s="98"/>
      <c r="AP12" s="438"/>
      <c r="AQ12" s="54" t="s">
        <v>273</v>
      </c>
      <c r="AT12" s="55"/>
      <c r="AU12" s="56"/>
      <c r="AV12" s="56"/>
      <c r="BB12" s="57"/>
      <c r="BC12" s="57"/>
      <c r="BE12" s="55"/>
      <c r="BF12" s="56"/>
      <c r="BG12" s="56"/>
      <c r="BH12" s="130" t="s">
        <v>94</v>
      </c>
      <c r="BI12" s="375">
        <f>$F$33</f>
        <v>0</v>
      </c>
      <c r="BJ12" s="527" t="s">
        <v>454</v>
      </c>
      <c r="BK12" s="529"/>
      <c r="BL12" s="376">
        <f>$J$21</f>
        <v>101.325</v>
      </c>
      <c r="BM12" s="57"/>
      <c r="BN12" s="57"/>
      <c r="BO12" s="53"/>
      <c r="BT12" s="57"/>
      <c r="BU12" s="57"/>
      <c r="BW12" s="53"/>
      <c r="BX12" s="53"/>
    </row>
    <row r="13" spans="2:76" ht="17.399999999999999" thickTop="1" thickBot="1" x14ac:dyDescent="0.4">
      <c r="B13" s="62"/>
      <c r="C13" s="115"/>
      <c r="D13" s="115"/>
      <c r="F13" s="654" t="s">
        <v>59</v>
      </c>
      <c r="G13" s="655"/>
      <c r="H13" s="655"/>
      <c r="I13" s="655"/>
      <c r="J13" s="655"/>
      <c r="K13" s="655"/>
      <c r="L13" s="656"/>
      <c r="M13" s="89"/>
      <c r="N13" s="88"/>
      <c r="O13" s="84">
        <v>9</v>
      </c>
      <c r="P13" s="53" t="s">
        <v>582</v>
      </c>
      <c r="S13" s="53"/>
      <c r="T13" s="53"/>
      <c r="U13" s="85"/>
      <c r="Z13" s="116"/>
      <c r="AA13" s="117"/>
      <c r="AB13" s="441"/>
      <c r="AC13" s="102"/>
      <c r="AD13" s="103"/>
      <c r="AE13" s="103"/>
      <c r="AF13" s="103"/>
      <c r="AG13" s="103"/>
      <c r="AH13" s="103"/>
      <c r="AI13" s="104"/>
      <c r="AJ13" s="447"/>
      <c r="AK13" s="342"/>
      <c r="AL13" s="117"/>
      <c r="AM13" s="117"/>
      <c r="AN13" s="341"/>
      <c r="AO13" s="98"/>
      <c r="AP13" s="438"/>
      <c r="AQ13" s="54" t="s">
        <v>273</v>
      </c>
      <c r="AT13" s="55"/>
      <c r="AU13" s="56"/>
      <c r="AV13" s="56"/>
      <c r="BB13" s="57"/>
      <c r="BC13" s="57"/>
      <c r="BE13" s="55"/>
      <c r="BF13" s="56"/>
      <c r="BG13" s="56"/>
      <c r="BI13" s="640" t="s">
        <v>76</v>
      </c>
      <c r="BJ13" s="641"/>
      <c r="BK13" s="118">
        <f>(9*$J$22+160)/5</f>
        <v>59</v>
      </c>
      <c r="BL13" s="134"/>
      <c r="BM13" s="57"/>
      <c r="BN13" s="57"/>
      <c r="BO13" s="53"/>
      <c r="BT13" s="57"/>
      <c r="BU13" s="57"/>
      <c r="BW13" s="53"/>
      <c r="BX13" s="53"/>
    </row>
    <row r="14" spans="2:76" ht="16.2" thickBot="1" x14ac:dyDescent="0.35">
      <c r="B14" s="62"/>
      <c r="C14" s="119" t="s">
        <v>146</v>
      </c>
      <c r="D14" s="119"/>
      <c r="F14" s="666" t="str">
        <f>R94</f>
        <v/>
      </c>
      <c r="G14" s="667"/>
      <c r="H14" s="667"/>
      <c r="I14" s="667"/>
      <c r="J14" s="667"/>
      <c r="K14" s="667"/>
      <c r="L14" s="668"/>
      <c r="M14" s="120"/>
      <c r="N14" s="121"/>
      <c r="O14" s="84">
        <v>10</v>
      </c>
      <c r="P14" s="121" t="s">
        <v>583</v>
      </c>
      <c r="Q14" s="121"/>
      <c r="R14" s="121"/>
      <c r="S14" s="121"/>
      <c r="T14" s="105"/>
      <c r="U14" s="105"/>
      <c r="Z14" s="91"/>
      <c r="AA14" s="92"/>
      <c r="AB14" s="441"/>
      <c r="AC14" s="451"/>
      <c r="AD14" s="103"/>
      <c r="AE14" s="103"/>
      <c r="AF14" s="103"/>
      <c r="AG14" s="103"/>
      <c r="AH14" s="103"/>
      <c r="AI14" s="104"/>
      <c r="AJ14" s="447"/>
      <c r="AK14" s="342"/>
      <c r="AL14" s="117"/>
      <c r="AM14" s="117"/>
      <c r="AN14" s="341"/>
      <c r="AO14" s="98"/>
      <c r="AP14" s="438"/>
      <c r="AQ14" s="54" t="s">
        <v>273</v>
      </c>
      <c r="AT14" s="55"/>
      <c r="AU14" s="56"/>
      <c r="AV14" s="56"/>
      <c r="BB14" s="57"/>
      <c r="BC14" s="57"/>
      <c r="BE14" s="55"/>
      <c r="BF14" s="56"/>
      <c r="BG14" s="56"/>
      <c r="BM14" s="57"/>
      <c r="BN14" s="57"/>
      <c r="BO14" s="53"/>
      <c r="BT14" s="57"/>
      <c r="BU14" s="57"/>
      <c r="BW14" s="53"/>
      <c r="BX14" s="53"/>
    </row>
    <row r="15" spans="2:76" ht="18" thickBot="1" x14ac:dyDescent="0.35">
      <c r="B15" s="62"/>
      <c r="C15" s="383" t="s">
        <v>551</v>
      </c>
      <c r="D15" s="50">
        <v>1</v>
      </c>
      <c r="F15" s="669" t="str">
        <f>R95</f>
        <v/>
      </c>
      <c r="G15" s="670"/>
      <c r="H15" s="670"/>
      <c r="I15" s="670"/>
      <c r="J15" s="670"/>
      <c r="K15" s="670"/>
      <c r="L15" s="671"/>
      <c r="M15" s="120"/>
      <c r="N15" s="121"/>
      <c r="O15" s="84">
        <v>11</v>
      </c>
      <c r="P15" s="54" t="s">
        <v>584</v>
      </c>
      <c r="T15" s="105"/>
      <c r="U15" s="105"/>
      <c r="Z15" s="687" t="s">
        <v>145</v>
      </c>
      <c r="AA15" s="688"/>
      <c r="AB15" s="688"/>
      <c r="AC15" s="688"/>
      <c r="AD15" s="688"/>
      <c r="AE15" s="688"/>
      <c r="AF15" s="688"/>
      <c r="AG15" s="688"/>
      <c r="AH15" s="688"/>
      <c r="AI15" s="688"/>
      <c r="AJ15" s="688"/>
      <c r="AK15" s="688"/>
      <c r="AL15" s="688"/>
      <c r="AM15" s="688"/>
      <c r="AN15" s="688"/>
      <c r="AO15" s="688"/>
      <c r="AP15" s="689"/>
      <c r="AT15" s="55"/>
      <c r="AU15" s="56"/>
      <c r="AV15" s="56"/>
      <c r="AW15" s="56"/>
      <c r="AX15" s="56"/>
      <c r="AY15" s="56"/>
      <c r="AZ15" s="56"/>
      <c r="BA15" s="57"/>
      <c r="BB15" s="57"/>
      <c r="BC15" s="57"/>
      <c r="BE15" s="55"/>
      <c r="BF15" s="56"/>
      <c r="BG15" s="56"/>
      <c r="BM15" s="57"/>
      <c r="BN15" s="57"/>
      <c r="BO15" s="53"/>
      <c r="BT15" s="57"/>
      <c r="BU15" s="57"/>
      <c r="BW15" s="53"/>
      <c r="BX15" s="53"/>
    </row>
    <row r="16" spans="2:76" ht="18.600000000000001" thickBot="1" x14ac:dyDescent="0.4">
      <c r="B16" s="62"/>
      <c r="C16" s="383" t="s">
        <v>552</v>
      </c>
      <c r="D16" s="50">
        <v>1</v>
      </c>
      <c r="F16" s="672" t="str">
        <f>R96</f>
        <v/>
      </c>
      <c r="G16" s="673"/>
      <c r="H16" s="673"/>
      <c r="I16" s="673"/>
      <c r="J16" s="673"/>
      <c r="K16" s="673"/>
      <c r="L16" s="674"/>
      <c r="M16" s="120"/>
      <c r="N16" s="121"/>
      <c r="O16" s="84">
        <v>12</v>
      </c>
      <c r="T16" s="105"/>
      <c r="U16" s="105"/>
      <c r="Z16" s="91" t="s">
        <v>58</v>
      </c>
      <c r="AA16" s="92">
        <v>1</v>
      </c>
      <c r="AB16" s="442">
        <v>1</v>
      </c>
      <c r="AC16" s="94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6">
        <v>0</v>
      </c>
      <c r="AJ16" s="97">
        <f t="shared" ref="AJ16" si="2">EXP(AC16+AD16*LN($Y$3)+AE16*(LN($Y$3))^2+AF16*(LN($Y$3))^3+AG16*(LN($Y$3))^4+AH16*(LN($Y$3))^5+AI16*(LN($Y$3))^6)</f>
        <v>1</v>
      </c>
      <c r="AK16" s="92"/>
      <c r="AL16" s="92"/>
      <c r="AM16" s="92"/>
      <c r="AN16" s="93"/>
      <c r="AO16" s="426">
        <f>Y5*AA16</f>
        <v>10000</v>
      </c>
      <c r="AP16" s="438">
        <f t="shared" ref="AP16" si="3">AO16*$Q$39/AA16</f>
        <v>10000</v>
      </c>
      <c r="AQ16" s="54" t="s">
        <v>274</v>
      </c>
      <c r="AT16" s="55"/>
      <c r="AU16" s="56"/>
      <c r="AV16" s="56"/>
      <c r="AW16" s="495" t="s">
        <v>604</v>
      </c>
      <c r="AX16" s="495"/>
      <c r="AY16" s="495"/>
      <c r="AZ16" s="515"/>
      <c r="BA16" s="51">
        <v>50</v>
      </c>
      <c r="BB16" s="57"/>
      <c r="BC16" s="57"/>
      <c r="BE16" s="55"/>
      <c r="BF16" s="56"/>
      <c r="BG16" s="56"/>
      <c r="BH16" s="495" t="s">
        <v>605</v>
      </c>
      <c r="BI16" s="495"/>
      <c r="BJ16" s="495"/>
      <c r="BK16" s="515"/>
      <c r="BL16" s="51">
        <v>50</v>
      </c>
      <c r="BM16" s="57"/>
      <c r="BN16" s="57"/>
      <c r="BO16" s="53"/>
      <c r="BT16" s="57"/>
      <c r="BU16" s="57"/>
      <c r="BW16" s="53"/>
      <c r="BX16" s="53"/>
    </row>
    <row r="17" spans="2:77" ht="16.2" thickBot="1" x14ac:dyDescent="0.35">
      <c r="B17" s="346"/>
      <c r="C17" s="347"/>
      <c r="D17" s="347"/>
      <c r="E17" s="347"/>
      <c r="F17" s="348"/>
      <c r="G17" s="349"/>
      <c r="H17" s="349"/>
      <c r="I17" s="347"/>
      <c r="J17" s="350"/>
      <c r="K17" s="350"/>
      <c r="L17" s="350"/>
      <c r="M17" s="351"/>
      <c r="N17" s="121"/>
      <c r="O17" s="84">
        <v>13</v>
      </c>
      <c r="T17" s="105"/>
      <c r="U17" s="105"/>
      <c r="Z17" s="91"/>
      <c r="AA17" s="92"/>
      <c r="AB17" s="443"/>
      <c r="AC17" s="102"/>
      <c r="AD17" s="103"/>
      <c r="AE17" s="103"/>
      <c r="AF17" s="103"/>
      <c r="AG17" s="103"/>
      <c r="AH17" s="103"/>
      <c r="AI17" s="104"/>
      <c r="AJ17" s="447"/>
      <c r="AK17" s="342"/>
      <c r="AL17" s="117"/>
      <c r="AM17" s="117"/>
      <c r="AN17" s="341"/>
      <c r="AO17" s="98"/>
      <c r="AP17" s="438"/>
      <c r="AQ17" s="54" t="s">
        <v>275</v>
      </c>
      <c r="AT17" s="55"/>
      <c r="AU17" s="56"/>
      <c r="AV17" s="56"/>
      <c r="AW17" s="495" t="s">
        <v>593</v>
      </c>
      <c r="AX17" s="495"/>
      <c r="AY17" s="495"/>
      <c r="AZ17" s="495"/>
      <c r="BA17" s="57"/>
      <c r="BB17" s="57"/>
      <c r="BC17" s="57"/>
      <c r="BE17" s="55"/>
      <c r="BF17" s="56"/>
      <c r="BG17" s="56"/>
      <c r="BH17" s="495" t="s">
        <v>594</v>
      </c>
      <c r="BI17" s="495"/>
      <c r="BJ17" s="495"/>
      <c r="BK17" s="495"/>
      <c r="BL17" s="57"/>
      <c r="BM17" s="57"/>
      <c r="BN17" s="57"/>
      <c r="BO17" s="53"/>
      <c r="BT17" s="57"/>
      <c r="BU17" s="57"/>
      <c r="BW17" s="53"/>
      <c r="BX17" s="53"/>
    </row>
    <row r="18" spans="2:77" ht="30.6" thickTop="1" x14ac:dyDescent="0.5">
      <c r="B18" s="62"/>
      <c r="C18" s="678" t="s">
        <v>3</v>
      </c>
      <c r="D18" s="678"/>
      <c r="E18" s="679"/>
      <c r="F18" s="679"/>
      <c r="G18" s="679"/>
      <c r="H18" s="679"/>
      <c r="I18" s="679"/>
      <c r="J18" s="679"/>
      <c r="K18" s="679"/>
      <c r="L18" s="679"/>
      <c r="M18" s="120"/>
      <c r="N18" s="121"/>
      <c r="O18" s="84"/>
      <c r="T18" s="105"/>
      <c r="U18" s="105"/>
      <c r="Z18" s="91"/>
      <c r="AA18" s="92"/>
      <c r="AB18" s="441"/>
      <c r="AC18" s="102"/>
      <c r="AD18" s="103"/>
      <c r="AE18" s="103"/>
      <c r="AF18" s="103"/>
      <c r="AG18" s="103"/>
      <c r="AH18" s="103"/>
      <c r="AI18" s="104"/>
      <c r="AJ18" s="447"/>
      <c r="AK18" s="342"/>
      <c r="AL18" s="117"/>
      <c r="AM18" s="117"/>
      <c r="AN18" s="341"/>
      <c r="AO18" s="98"/>
      <c r="AP18" s="438"/>
      <c r="AQ18" s="54" t="s">
        <v>275</v>
      </c>
      <c r="AS18" s="138" t="s">
        <v>79</v>
      </c>
      <c r="AT18" s="138" t="s">
        <v>79</v>
      </c>
      <c r="AU18" s="138" t="s">
        <v>78</v>
      </c>
      <c r="AV18" s="140" t="s">
        <v>8</v>
      </c>
      <c r="AW18" s="140" t="s">
        <v>11</v>
      </c>
      <c r="AX18" s="140" t="s">
        <v>11</v>
      </c>
      <c r="AY18" s="140" t="s">
        <v>14</v>
      </c>
      <c r="AZ18" s="140" t="s">
        <v>16</v>
      </c>
      <c r="BA18" s="140" t="s">
        <v>16</v>
      </c>
      <c r="BB18" s="140" t="s">
        <v>17</v>
      </c>
      <c r="BC18" s="140" t="s">
        <v>17</v>
      </c>
      <c r="BE18" s="138" t="s">
        <v>79</v>
      </c>
      <c r="BF18" s="138" t="s">
        <v>78</v>
      </c>
      <c r="BG18" s="138" t="s">
        <v>597</v>
      </c>
      <c r="BH18" s="140" t="s">
        <v>8</v>
      </c>
      <c r="BI18" s="140" t="s">
        <v>11</v>
      </c>
      <c r="BJ18" s="140" t="s">
        <v>11</v>
      </c>
      <c r="BK18" s="140" t="s">
        <v>14</v>
      </c>
      <c r="BL18" s="140" t="s">
        <v>16</v>
      </c>
      <c r="BM18" s="140" t="s">
        <v>16</v>
      </c>
      <c r="BN18" s="140" t="s">
        <v>17</v>
      </c>
      <c r="BO18" s="140" t="s">
        <v>17</v>
      </c>
      <c r="BT18" s="57"/>
      <c r="BU18" s="57"/>
      <c r="BW18" s="53"/>
      <c r="BX18" s="53"/>
    </row>
    <row r="19" spans="2:77" x14ac:dyDescent="0.3">
      <c r="B19" s="62"/>
      <c r="C19" s="54"/>
      <c r="D19" s="54"/>
      <c r="L19" s="54"/>
      <c r="M19" s="141"/>
      <c r="N19" s="54"/>
      <c r="Z19" s="91"/>
      <c r="AA19" s="92"/>
      <c r="AB19" s="441"/>
      <c r="AC19" s="102"/>
      <c r="AD19" s="103"/>
      <c r="AE19" s="103"/>
      <c r="AF19" s="103"/>
      <c r="AG19" s="103"/>
      <c r="AH19" s="103"/>
      <c r="AI19" s="104"/>
      <c r="AJ19" s="447"/>
      <c r="AK19" s="342"/>
      <c r="AL19" s="117"/>
      <c r="AM19" s="117"/>
      <c r="AN19" s="341"/>
      <c r="AO19" s="98"/>
      <c r="AP19" s="438"/>
      <c r="AQ19" s="54" t="s">
        <v>275</v>
      </c>
      <c r="AS19" s="142" t="s">
        <v>595</v>
      </c>
      <c r="AT19" s="146" t="s">
        <v>596</v>
      </c>
      <c r="AU19" s="142" t="s">
        <v>79</v>
      </c>
      <c r="AV19" s="144" t="s">
        <v>9</v>
      </c>
      <c r="AW19" s="144" t="s">
        <v>5</v>
      </c>
      <c r="AX19" s="144" t="s">
        <v>6</v>
      </c>
      <c r="AY19" s="144" t="s">
        <v>15</v>
      </c>
      <c r="AZ19" s="144" t="s">
        <v>5</v>
      </c>
      <c r="BA19" s="144" t="s">
        <v>6</v>
      </c>
      <c r="BB19" s="144" t="s">
        <v>5</v>
      </c>
      <c r="BC19" s="144" t="s">
        <v>6</v>
      </c>
      <c r="BE19" s="142" t="s">
        <v>596</v>
      </c>
      <c r="BF19" s="142" t="s">
        <v>79</v>
      </c>
      <c r="BG19" s="146" t="s">
        <v>595</v>
      </c>
      <c r="BH19" s="144" t="s">
        <v>9</v>
      </c>
      <c r="BI19" s="144" t="s">
        <v>5</v>
      </c>
      <c r="BJ19" s="144" t="s">
        <v>6</v>
      </c>
      <c r="BK19" s="144" t="s">
        <v>15</v>
      </c>
      <c r="BL19" s="144" t="s">
        <v>5</v>
      </c>
      <c r="BM19" s="144" t="s">
        <v>6</v>
      </c>
      <c r="BN19" s="144" t="s">
        <v>5</v>
      </c>
      <c r="BO19" s="144" t="s">
        <v>6</v>
      </c>
      <c r="BT19" s="57"/>
      <c r="BU19" s="57"/>
      <c r="BW19" s="53"/>
      <c r="BX19" s="53"/>
    </row>
    <row r="20" spans="2:77" ht="18.600000000000001" thickBot="1" x14ac:dyDescent="0.35">
      <c r="B20" s="62"/>
      <c r="C20" s="609" t="s">
        <v>41</v>
      </c>
      <c r="D20" s="609"/>
      <c r="E20" s="609"/>
      <c r="F20" s="147"/>
      <c r="G20" s="148"/>
      <c r="H20" s="148"/>
      <c r="I20" s="610" t="s">
        <v>19</v>
      </c>
      <c r="J20" s="610"/>
      <c r="K20" s="610"/>
      <c r="L20" s="610"/>
      <c r="M20" s="149"/>
      <c r="N20" s="150"/>
      <c r="O20" s="151" t="s">
        <v>249</v>
      </c>
      <c r="Z20" s="91"/>
      <c r="AA20" s="92"/>
      <c r="AB20" s="441"/>
      <c r="AC20" s="102"/>
      <c r="AD20" s="103"/>
      <c r="AE20" s="103"/>
      <c r="AF20" s="103"/>
      <c r="AG20" s="103"/>
      <c r="AH20" s="103"/>
      <c r="AI20" s="104"/>
      <c r="AJ20" s="447"/>
      <c r="AK20" s="342"/>
      <c r="AL20" s="117"/>
      <c r="AM20" s="117"/>
      <c r="AN20" s="341"/>
      <c r="AO20" s="98"/>
      <c r="AP20" s="438"/>
      <c r="AQ20" s="54" t="s">
        <v>275</v>
      </c>
      <c r="AS20" s="142" t="s">
        <v>609</v>
      </c>
      <c r="AT20" s="142" t="s">
        <v>524</v>
      </c>
      <c r="AU20" s="142" t="s">
        <v>104</v>
      </c>
      <c r="AV20" s="144" t="s">
        <v>10</v>
      </c>
      <c r="AW20" s="144" t="s">
        <v>18</v>
      </c>
      <c r="AX20" s="144" t="s">
        <v>525</v>
      </c>
      <c r="AY20" s="144" t="s">
        <v>10</v>
      </c>
      <c r="AZ20" s="144" t="s">
        <v>18</v>
      </c>
      <c r="BA20" s="144" t="s">
        <v>525</v>
      </c>
      <c r="BB20" s="144" t="s">
        <v>18</v>
      </c>
      <c r="BC20" s="144" t="s">
        <v>525</v>
      </c>
      <c r="BE20" s="142" t="s">
        <v>609</v>
      </c>
      <c r="BF20" s="142" t="s">
        <v>104</v>
      </c>
      <c r="BG20" s="142" t="s">
        <v>609</v>
      </c>
      <c r="BH20" s="144" t="s">
        <v>10</v>
      </c>
      <c r="BI20" s="144" t="s">
        <v>18</v>
      </c>
      <c r="BJ20" s="144" t="s">
        <v>525</v>
      </c>
      <c r="BK20" s="144" t="s">
        <v>10</v>
      </c>
      <c r="BL20" s="144" t="s">
        <v>18</v>
      </c>
      <c r="BM20" s="144" t="s">
        <v>525</v>
      </c>
      <c r="BN20" s="144" t="s">
        <v>18</v>
      </c>
      <c r="BO20" s="144" t="s">
        <v>525</v>
      </c>
      <c r="BT20" s="57"/>
      <c r="BU20" s="57"/>
      <c r="BW20" s="53"/>
      <c r="BX20" s="53"/>
    </row>
    <row r="21" spans="2:77" ht="16.2" thickBot="1" x14ac:dyDescent="0.35">
      <c r="B21" s="62"/>
      <c r="C21" s="54" t="s">
        <v>400</v>
      </c>
      <c r="D21" s="54"/>
      <c r="E21" s="365">
        <f>Q47</f>
        <v>10000</v>
      </c>
      <c r="F21" s="152"/>
      <c r="G21" s="153"/>
      <c r="H21" s="153"/>
      <c r="I21" s="54" t="s">
        <v>454</v>
      </c>
      <c r="J21" s="154">
        <f>$Q$66</f>
        <v>101.325</v>
      </c>
      <c r="K21" s="154"/>
      <c r="L21" s="54"/>
      <c r="M21" s="141"/>
      <c r="N21" s="54"/>
      <c r="O21" s="111" t="s">
        <v>158</v>
      </c>
      <c r="U21" s="155"/>
      <c r="Z21" s="91"/>
      <c r="AA21" s="92"/>
      <c r="AB21" s="441"/>
      <c r="AC21" s="451"/>
      <c r="AD21" s="103"/>
      <c r="AE21" s="103"/>
      <c r="AF21" s="103"/>
      <c r="AG21" s="103"/>
      <c r="AH21" s="103"/>
      <c r="AI21" s="104"/>
      <c r="AJ21" s="447"/>
      <c r="AK21" s="342"/>
      <c r="AL21" s="117"/>
      <c r="AM21" s="117"/>
      <c r="AN21" s="341"/>
      <c r="AO21" s="98"/>
      <c r="AP21" s="438"/>
      <c r="AQ21" s="54" t="s">
        <v>276</v>
      </c>
      <c r="AS21" s="339">
        <f>I6</f>
        <v>100</v>
      </c>
      <c r="AT21" s="339">
        <f>E34</f>
        <v>100</v>
      </c>
      <c r="AU21" s="339">
        <f>IF(ISERROR($E$36),0,$E$36)</f>
        <v>4.6415888336127775</v>
      </c>
      <c r="AV21" s="339">
        <f>IF(ISERROR($E$38),0,$E$38)</f>
        <v>158.02100971019939</v>
      </c>
      <c r="AW21" s="339">
        <f>IF(ISERROR($E$40),0,$E$40)</f>
        <v>49.31156135724909</v>
      </c>
      <c r="AX21" s="339">
        <f>IF(ISERROR($E$48),0,$E$48)</f>
        <v>1366.6656291965537</v>
      </c>
      <c r="AY21" s="339">
        <f>IF(ISERROR($E$45),0,$E$45)</f>
        <v>79.188624587534818</v>
      </c>
      <c r="AZ21" s="339">
        <f>IF(ISERROR($E$43),0,$E$43)</f>
        <v>117.63505483326347</v>
      </c>
      <c r="BA21" s="339">
        <f>IF(ISERROR($E$51),0,$E$51)</f>
        <v>2939.3873235593283</v>
      </c>
      <c r="BB21" s="339">
        <f>IF(ISERROR($E$54),0,$E$54)</f>
        <v>8.385807749576637</v>
      </c>
      <c r="BC21" s="339">
        <f>IF(ISERROR($E$57),0,$E$57)</f>
        <v>161.8827004513237</v>
      </c>
      <c r="BD21" s="374"/>
      <c r="BE21" s="339">
        <f>$F$34</f>
        <v>100</v>
      </c>
      <c r="BF21" s="339">
        <f>$F$36</f>
        <v>4.6415888336127775</v>
      </c>
      <c r="BG21" s="339">
        <f>IF(ISERROR($E$34),0,$E$34)</f>
        <v>100</v>
      </c>
      <c r="BH21" s="339">
        <f>IF(ISERROR($F$38),0,$F$38)</f>
        <v>158.02100971019939</v>
      </c>
      <c r="BI21" s="339">
        <f>IF(ISERROR($F$40),0,$F$40)</f>
        <v>49.31156135724909</v>
      </c>
      <c r="BJ21" s="339">
        <f>IF(ISERROR($F$48),0,$F$48)</f>
        <v>1366.6656291965537</v>
      </c>
      <c r="BK21" s="339">
        <f>IF(ISERROR($F$45),0,$F$45)</f>
        <v>79.188624587534818</v>
      </c>
      <c r="BL21" s="339">
        <f>IF(ISERROR($F$43),0,$F$43)</f>
        <v>117.63505483326347</v>
      </c>
      <c r="BM21" s="339">
        <f>IF(ISERROR($F$51),0,$F$51)</f>
        <v>2939.3873235593283</v>
      </c>
      <c r="BN21" s="339">
        <f>IF(ISERROR($F$54),0,$F$54)</f>
        <v>8.385807749576637</v>
      </c>
      <c r="BO21" s="339">
        <f>IF(ISERROR($F$57),0,$F$57)</f>
        <v>161.8827004513237</v>
      </c>
      <c r="BT21" s="57"/>
      <c r="BU21" s="57"/>
      <c r="BW21" s="53"/>
      <c r="BX21" s="53"/>
    </row>
    <row r="22" spans="2:77" x14ac:dyDescent="0.3">
      <c r="B22" s="62"/>
      <c r="C22" s="54" t="s">
        <v>401</v>
      </c>
      <c r="D22" s="54"/>
      <c r="E22" s="365">
        <f>Q41</f>
        <v>0.45351473922902491</v>
      </c>
      <c r="F22" s="156"/>
      <c r="G22" s="153"/>
      <c r="H22" s="153"/>
      <c r="I22" s="54" t="s">
        <v>32</v>
      </c>
      <c r="J22" s="157">
        <f>$I$9</f>
        <v>15</v>
      </c>
      <c r="K22" s="157"/>
      <c r="L22" s="54"/>
      <c r="M22" s="141"/>
      <c r="N22" s="54"/>
      <c r="O22" s="155"/>
      <c r="P22" s="74" t="s">
        <v>111</v>
      </c>
      <c r="Q22" s="158" t="s">
        <v>109</v>
      </c>
      <c r="R22" s="158"/>
      <c r="S22" s="158"/>
      <c r="T22" s="74" t="s">
        <v>110</v>
      </c>
      <c r="U22" s="155"/>
      <c r="Z22" s="91"/>
      <c r="AA22" s="92"/>
      <c r="AB22" s="441"/>
      <c r="AC22" s="466"/>
      <c r="AD22" s="466"/>
      <c r="AE22" s="466"/>
      <c r="AF22" s="466"/>
      <c r="AG22" s="466"/>
      <c r="AH22" s="465"/>
      <c r="AI22" s="445"/>
      <c r="AJ22" s="447"/>
      <c r="AK22" s="342"/>
      <c r="AL22" s="117"/>
      <c r="AM22" s="117"/>
      <c r="AN22" s="341"/>
      <c r="AO22" s="98"/>
      <c r="AP22" s="438"/>
      <c r="AQ22" s="54" t="s">
        <v>276</v>
      </c>
      <c r="AS22" s="161">
        <f>0.5*$BA$16</f>
        <v>25</v>
      </c>
      <c r="AT22" s="161">
        <f>0.5*$BA$16*$J$24</f>
        <v>25</v>
      </c>
      <c r="AU22" s="161">
        <f t="dataTable" ref="AU22:BC59" dt2D="0" dtr="0" r1="I6" ca="1"/>
        <v>1.1603972084031944</v>
      </c>
      <c r="AV22" s="161">
        <v>13.201257271707076</v>
      </c>
      <c r="AW22" s="161">
        <v>982.82196837010315</v>
      </c>
      <c r="AX22" s="161">
        <v>4729.0783477876066</v>
      </c>
      <c r="AY22" s="161">
        <v>46.184756915720811</v>
      </c>
      <c r="AZ22" s="161">
        <v>5385.5855875279231</v>
      </c>
      <c r="BA22" s="161">
        <v>15636.490944409303</v>
      </c>
      <c r="BB22" s="161">
        <v>1413.1373873149589</v>
      </c>
      <c r="BC22" s="161">
        <v>2970.580208871324</v>
      </c>
      <c r="BE22" s="161">
        <f>0.5*$BL$16</f>
        <v>25</v>
      </c>
      <c r="BF22" s="161">
        <f t="dataTable" ref="BF22:BO59" dt2D="0" dtr="0" r1="I6"/>
        <v>1.1603972084031944</v>
      </c>
      <c r="BG22" s="161">
        <v>25</v>
      </c>
      <c r="BH22" s="161">
        <v>13.201257271707076</v>
      </c>
      <c r="BI22" s="161">
        <v>982.82196837010315</v>
      </c>
      <c r="BJ22" s="161">
        <v>4729.0783477876066</v>
      </c>
      <c r="BK22" s="161">
        <v>46.184756915720811</v>
      </c>
      <c r="BL22" s="161">
        <v>5385.5855875279231</v>
      </c>
      <c r="BM22" s="161">
        <v>15636.490944409303</v>
      </c>
      <c r="BN22" s="161">
        <v>1413.1373873149589</v>
      </c>
      <c r="BO22" s="161">
        <v>2970.580208871324</v>
      </c>
      <c r="BT22" s="57"/>
      <c r="BU22" s="57"/>
      <c r="BW22" s="53"/>
      <c r="BX22" s="53"/>
    </row>
    <row r="23" spans="2:77" ht="18" x14ac:dyDescent="0.4">
      <c r="B23" s="62"/>
      <c r="C23" s="54" t="s">
        <v>590</v>
      </c>
      <c r="D23" s="494" t="str">
        <f>Q37</f>
        <v>TNT</v>
      </c>
      <c r="E23" s="494"/>
      <c r="F23" s="156"/>
      <c r="G23" s="153"/>
      <c r="H23" s="153"/>
      <c r="I23" s="163" t="s">
        <v>60</v>
      </c>
      <c r="J23" s="164">
        <f>Q70</f>
        <v>1</v>
      </c>
      <c r="K23" s="157"/>
      <c r="L23" s="54"/>
      <c r="M23" s="141"/>
      <c r="N23" s="54"/>
      <c r="P23" s="85" t="s">
        <v>55</v>
      </c>
      <c r="Q23" s="165">
        <v>1</v>
      </c>
      <c r="R23" s="105"/>
      <c r="S23" s="105"/>
      <c r="T23" s="54" t="str">
        <f>INDEX(PEStypes,Q23)</f>
        <v>Open Storage/STANDARD</v>
      </c>
      <c r="Z23" s="116"/>
      <c r="AA23" s="117"/>
      <c r="AB23" s="441"/>
      <c r="AC23" s="102"/>
      <c r="AD23" s="103"/>
      <c r="AE23" s="103"/>
      <c r="AF23" s="103"/>
      <c r="AG23" s="103"/>
      <c r="AH23" s="103"/>
      <c r="AI23" s="104"/>
      <c r="AJ23" s="447"/>
      <c r="AK23" s="342"/>
      <c r="AL23" s="117"/>
      <c r="AM23" s="117"/>
      <c r="AN23" s="341"/>
      <c r="AO23" s="98"/>
      <c r="AP23" s="438"/>
      <c r="AQ23" s="54" t="s">
        <v>276</v>
      </c>
      <c r="AS23" s="168">
        <f>0.6*$BA$16</f>
        <v>30</v>
      </c>
      <c r="AT23" s="168">
        <f>0.6*$BA$16*$J$24</f>
        <v>30</v>
      </c>
      <c r="AU23" s="168">
        <v>1.3924766500838333</v>
      </c>
      <c r="AV23" s="168">
        <v>18.524128098903834</v>
      </c>
      <c r="AW23" s="168">
        <v>653.61665204809185</v>
      </c>
      <c r="AX23" s="168">
        <v>4093.9164867955183</v>
      </c>
      <c r="AY23" s="168">
        <v>47.357995681125409</v>
      </c>
      <c r="AZ23" s="168">
        <v>3170.618097773819</v>
      </c>
      <c r="BA23" s="168">
        <v>12336.642745670255</v>
      </c>
      <c r="BB23" s="168">
        <v>761.46268546290889</v>
      </c>
      <c r="BC23" s="168">
        <v>2293.6591402915437</v>
      </c>
      <c r="BE23" s="168">
        <f>0.6*$BL$16</f>
        <v>30</v>
      </c>
      <c r="BF23" s="168">
        <v>1.3924766500838333</v>
      </c>
      <c r="BG23" s="168">
        <v>30</v>
      </c>
      <c r="BH23" s="168">
        <v>18.524128098903834</v>
      </c>
      <c r="BI23" s="168">
        <v>653.61665204809185</v>
      </c>
      <c r="BJ23" s="168">
        <v>4093.9164867955183</v>
      </c>
      <c r="BK23" s="168">
        <v>47.357995681125409</v>
      </c>
      <c r="BL23" s="168">
        <v>3170.618097773819</v>
      </c>
      <c r="BM23" s="168">
        <v>12336.642745670255</v>
      </c>
      <c r="BN23" s="168">
        <v>761.46268546290889</v>
      </c>
      <c r="BO23" s="168">
        <v>2293.6591402915437</v>
      </c>
      <c r="BU23" s="57"/>
      <c r="BX23" s="53"/>
    </row>
    <row r="24" spans="2:77" ht="18.600000000000001" thickBot="1" x14ac:dyDescent="0.45">
      <c r="B24" s="62"/>
      <c r="C24" s="54" t="s">
        <v>74</v>
      </c>
      <c r="D24" s="54"/>
      <c r="E24" s="366">
        <f>Q38</f>
        <v>1</v>
      </c>
      <c r="F24" s="57"/>
      <c r="G24" s="153"/>
      <c r="H24" s="153"/>
      <c r="I24" s="163" t="s">
        <v>61</v>
      </c>
      <c r="J24" s="164">
        <f>Q71</f>
        <v>1</v>
      </c>
      <c r="K24" s="164"/>
      <c r="L24" s="54"/>
      <c r="M24" s="141"/>
      <c r="N24" s="54"/>
      <c r="P24" s="54" t="s">
        <v>227</v>
      </c>
      <c r="Q24" s="165">
        <v>1</v>
      </c>
      <c r="R24" s="105"/>
      <c r="S24" s="105"/>
      <c r="T24" s="54" t="str">
        <f>INDEX(WeaponTypes,Q24)</f>
        <v>Bulk/Light Cased:  STANDARD</v>
      </c>
      <c r="V24" s="155"/>
      <c r="W24" s="155"/>
      <c r="Z24" s="170"/>
      <c r="AA24" s="81"/>
      <c r="AB24" s="444"/>
      <c r="AC24" s="467"/>
      <c r="AD24" s="172"/>
      <c r="AE24" s="172"/>
      <c r="AF24" s="172"/>
      <c r="AG24" s="172"/>
      <c r="AH24" s="172"/>
      <c r="AI24" s="173"/>
      <c r="AJ24" s="448"/>
      <c r="AK24" s="343"/>
      <c r="AL24" s="344"/>
      <c r="AM24" s="344"/>
      <c r="AN24" s="345"/>
      <c r="AO24" s="449"/>
      <c r="AP24" s="440"/>
      <c r="AQ24" s="54" t="s">
        <v>276</v>
      </c>
      <c r="AS24" s="168">
        <f>0.7*$BA$16</f>
        <v>35</v>
      </c>
      <c r="AT24" s="168">
        <f>0.7*$BA$16*$J$24</f>
        <v>35</v>
      </c>
      <c r="AU24" s="168">
        <v>1.6245560917644721</v>
      </c>
      <c r="AV24" s="168">
        <v>24.695068799012621</v>
      </c>
      <c r="AW24" s="168">
        <v>458.880926921129</v>
      </c>
      <c r="AX24" s="168">
        <v>3543.9564860057849</v>
      </c>
      <c r="AY24" s="168">
        <v>45.206066706400634</v>
      </c>
      <c r="AZ24" s="168">
        <v>1994.0751528414307</v>
      </c>
      <c r="BA24" s="168">
        <v>10143.611805496412</v>
      </c>
      <c r="BB24" s="168">
        <v>439.11204553856356</v>
      </c>
      <c r="BC24" s="168">
        <v>1939.021804615717</v>
      </c>
      <c r="BE24" s="168">
        <f>0.7*$BL$16</f>
        <v>35</v>
      </c>
      <c r="BF24" s="168">
        <v>1.6245560917644721</v>
      </c>
      <c r="BG24" s="168">
        <v>35</v>
      </c>
      <c r="BH24" s="168">
        <v>24.695068799012621</v>
      </c>
      <c r="BI24" s="168">
        <v>458.880926921129</v>
      </c>
      <c r="BJ24" s="168">
        <v>3543.9564860057849</v>
      </c>
      <c r="BK24" s="168">
        <v>45.206066706400634</v>
      </c>
      <c r="BL24" s="168">
        <v>1994.0751528414307</v>
      </c>
      <c r="BM24" s="168">
        <v>10143.611805496412</v>
      </c>
      <c r="BN24" s="168">
        <v>439.11204553856356</v>
      </c>
      <c r="BO24" s="168">
        <v>1939.021804615717</v>
      </c>
      <c r="BU24" s="57"/>
      <c r="BX24" s="53"/>
    </row>
    <row r="25" spans="2:77" ht="18.75" customHeight="1" x14ac:dyDescent="0.4">
      <c r="B25" s="62"/>
      <c r="C25" s="54" t="s">
        <v>75</v>
      </c>
      <c r="D25" s="54"/>
      <c r="E25" s="366">
        <f>Q39</f>
        <v>1</v>
      </c>
      <c r="F25" s="57"/>
      <c r="I25" s="163" t="s">
        <v>62</v>
      </c>
      <c r="J25" s="164">
        <f>Q72</f>
        <v>1</v>
      </c>
      <c r="K25" s="164"/>
      <c r="L25" s="54"/>
      <c r="M25" s="141"/>
      <c r="N25" s="54"/>
      <c r="P25" s="175" t="s">
        <v>122</v>
      </c>
      <c r="Q25" s="176">
        <v>1</v>
      </c>
      <c r="R25" s="177"/>
      <c r="S25" s="177"/>
      <c r="T25" s="85" t="str">
        <f>INDEX(ExplTypes,Q25)</f>
        <v>Based on Munition Type Selected</v>
      </c>
      <c r="U25" s="85"/>
      <c r="W25" s="85"/>
      <c r="X25" s="155"/>
      <c r="Y25" s="155"/>
      <c r="AA25" s="178"/>
      <c r="AB25" s="178"/>
      <c r="AC25" s="179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P25" s="180"/>
      <c r="AQ25" s="155"/>
      <c r="AS25" s="168">
        <f>0.8*$BA$16</f>
        <v>40</v>
      </c>
      <c r="AT25" s="168">
        <f>0.8*$BA$16*$J$24</f>
        <v>40</v>
      </c>
      <c r="AU25" s="168">
        <v>1.856635533445111</v>
      </c>
      <c r="AV25" s="168">
        <v>31.760067885459666</v>
      </c>
      <c r="AW25" s="168">
        <v>336.90358992488041</v>
      </c>
      <c r="AX25" s="168">
        <v>3114.2782060979912</v>
      </c>
      <c r="AY25" s="168">
        <v>43.972046294712371</v>
      </c>
      <c r="AZ25" s="168">
        <v>1327.9573200882446</v>
      </c>
      <c r="BA25" s="168">
        <v>8589.6501763698834</v>
      </c>
      <c r="BB25" s="168">
        <v>268.20089559515992</v>
      </c>
      <c r="BC25" s="168">
        <v>1646.3164937576016</v>
      </c>
      <c r="BE25" s="168">
        <f>0.8*$BL$16</f>
        <v>40</v>
      </c>
      <c r="BF25" s="168">
        <v>1.856635533445111</v>
      </c>
      <c r="BG25" s="168">
        <v>40</v>
      </c>
      <c r="BH25" s="168">
        <v>31.760067885459666</v>
      </c>
      <c r="BI25" s="168">
        <v>336.90358992488041</v>
      </c>
      <c r="BJ25" s="168">
        <v>3114.2782060979912</v>
      </c>
      <c r="BK25" s="168">
        <v>43.972046294712371</v>
      </c>
      <c r="BL25" s="168">
        <v>1327.9573200882446</v>
      </c>
      <c r="BM25" s="168">
        <v>8589.6501763698834</v>
      </c>
      <c r="BN25" s="168">
        <v>268.20089559515992</v>
      </c>
      <c r="BO25" s="168">
        <v>1646.3164937576016</v>
      </c>
      <c r="BP25" s="55"/>
      <c r="BV25" s="56"/>
      <c r="BY25" s="57"/>
    </row>
    <row r="26" spans="2:77" ht="18.600000000000001" thickBot="1" x14ac:dyDescent="0.45">
      <c r="B26" s="62"/>
      <c r="C26" s="54" t="s">
        <v>402</v>
      </c>
      <c r="D26" s="54"/>
      <c r="E26" s="365">
        <f>IF($Q$23=1,$E$21*$E$24,$E$21)</f>
        <v>10000</v>
      </c>
      <c r="F26" s="152"/>
      <c r="I26" s="163" t="s">
        <v>63</v>
      </c>
      <c r="J26" s="164">
        <f>Q73</f>
        <v>1</v>
      </c>
      <c r="K26" s="164"/>
      <c r="L26" s="54"/>
      <c r="M26" s="141"/>
      <c r="N26" s="54"/>
      <c r="P26" s="54" t="s">
        <v>232</v>
      </c>
      <c r="Q26" s="165">
        <v>1</v>
      </c>
      <c r="R26" s="105"/>
      <c r="S26" s="105"/>
      <c r="T26" s="85" t="str">
        <f>IF(Q24=1,"Total NEW (kg)",INDEX(Q5:Q6,Q26))</f>
        <v>Total NEW (kg)</v>
      </c>
      <c r="V26" s="105"/>
      <c r="X26" s="85"/>
      <c r="Y26" s="85"/>
      <c r="Z26" s="61" t="s">
        <v>518</v>
      </c>
      <c r="AA26" s="178"/>
      <c r="AB26" s="178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P26" s="180"/>
      <c r="AQ26" s="85"/>
      <c r="AS26" s="168">
        <f>0.9*$BA$16</f>
        <v>45</v>
      </c>
      <c r="AT26" s="168">
        <f>0.9*$BA$16*$J$24</f>
        <v>45</v>
      </c>
      <c r="AU26" s="168">
        <v>2.0887149751257499</v>
      </c>
      <c r="AV26" s="168">
        <v>39.612135918940879</v>
      </c>
      <c r="AW26" s="168">
        <v>256.82211172178199</v>
      </c>
      <c r="AX26" s="168">
        <v>2783.7081860530111</v>
      </c>
      <c r="AY26" s="168">
        <v>44.479447502759776</v>
      </c>
      <c r="AZ26" s="168">
        <v>924.19920800247019</v>
      </c>
      <c r="BA26" s="168">
        <v>7435.4759938443995</v>
      </c>
      <c r="BB26" s="168">
        <v>172.01965960163682</v>
      </c>
      <c r="BC26" s="168">
        <v>1345.3959242648875</v>
      </c>
      <c r="BE26" s="182">
        <f>0.9*$BL$16</f>
        <v>45</v>
      </c>
      <c r="BF26" s="182">
        <v>2.0887149751257499</v>
      </c>
      <c r="BG26" s="182">
        <v>45</v>
      </c>
      <c r="BH26" s="182">
        <v>39.612135918940879</v>
      </c>
      <c r="BI26" s="182">
        <v>256.82211172178199</v>
      </c>
      <c r="BJ26" s="182">
        <v>2783.7081860530111</v>
      </c>
      <c r="BK26" s="182">
        <v>44.479447502759776</v>
      </c>
      <c r="BL26" s="182">
        <v>924.19920800247019</v>
      </c>
      <c r="BM26" s="182">
        <v>7435.4759938443995</v>
      </c>
      <c r="BN26" s="182">
        <v>172.01965960163682</v>
      </c>
      <c r="BO26" s="182">
        <v>1345.3959242648875</v>
      </c>
      <c r="BP26" s="55"/>
      <c r="BV26" s="56"/>
      <c r="BY26" s="57"/>
    </row>
    <row r="27" spans="2:77" ht="19.5" customHeight="1" thickTop="1" thickBot="1" x14ac:dyDescent="0.35">
      <c r="B27" s="62"/>
      <c r="C27" s="54" t="s">
        <v>403</v>
      </c>
      <c r="D27" s="54"/>
      <c r="E27" s="365">
        <f>IF($Q$23=1,$E$21*$E$25,$E$21)</f>
        <v>10000</v>
      </c>
      <c r="F27" s="152"/>
      <c r="K27" s="164"/>
      <c r="L27" s="54"/>
      <c r="M27" s="141"/>
      <c r="N27" s="54"/>
      <c r="P27" s="54" t="s">
        <v>115</v>
      </c>
      <c r="Q27" s="165">
        <v>1</v>
      </c>
      <c r="R27" s="105"/>
      <c r="S27" s="105"/>
      <c r="T27" s="54" t="str">
        <f>INDEX(Q9:Q10,Q27)</f>
        <v>Altitude (meters)</v>
      </c>
      <c r="V27" s="155"/>
      <c r="W27" s="155"/>
      <c r="Z27" s="581" t="s">
        <v>55</v>
      </c>
      <c r="AA27" s="582"/>
      <c r="AB27" s="583"/>
      <c r="AC27" s="587" t="s">
        <v>148</v>
      </c>
      <c r="AD27" s="588"/>
      <c r="AE27" s="588"/>
      <c r="AF27" s="588"/>
      <c r="AG27" s="588"/>
      <c r="AH27" s="588"/>
      <c r="AI27" s="589"/>
      <c r="AJ27" s="590" t="s">
        <v>151</v>
      </c>
      <c r="AK27" s="551" t="s">
        <v>267</v>
      </c>
      <c r="AL27" s="552"/>
      <c r="AM27" s="551" t="s">
        <v>152</v>
      </c>
      <c r="AN27" s="588"/>
      <c r="AO27" s="690" t="s">
        <v>154</v>
      </c>
      <c r="AP27" s="520"/>
      <c r="AS27" s="48">
        <f>1*$BA$16</f>
        <v>50</v>
      </c>
      <c r="AT27" s="48">
        <f>1*$BA$16*$J$24</f>
        <v>50</v>
      </c>
      <c r="AU27" s="48">
        <v>2.3207944168063888</v>
      </c>
      <c r="AV27" s="48">
        <v>48.165706682239133</v>
      </c>
      <c r="AW27" s="48">
        <v>202.14361475187275</v>
      </c>
      <c r="AX27" s="48">
        <v>2525.7388581864316</v>
      </c>
      <c r="AY27" s="48">
        <v>46.770714090153959</v>
      </c>
      <c r="AZ27" s="48">
        <v>675.39726201799169</v>
      </c>
      <c r="BA27" s="48">
        <v>6546.8341343327129</v>
      </c>
      <c r="BB27" s="48">
        <v>115.04639782191788</v>
      </c>
      <c r="BC27" s="48">
        <v>1050.9416686613383</v>
      </c>
      <c r="BE27" s="48">
        <f>1*$BL$16</f>
        <v>50</v>
      </c>
      <c r="BF27" s="48">
        <v>2.3207944168063888</v>
      </c>
      <c r="BG27" s="48">
        <v>50</v>
      </c>
      <c r="BH27" s="48">
        <v>48.165706682239133</v>
      </c>
      <c r="BI27" s="48">
        <v>202.14361475187275</v>
      </c>
      <c r="BJ27" s="48">
        <v>2525.7388581864316</v>
      </c>
      <c r="BK27" s="48">
        <v>46.770714090153959</v>
      </c>
      <c r="BL27" s="48">
        <v>675.39726201799169</v>
      </c>
      <c r="BM27" s="48">
        <v>6546.8341343327129</v>
      </c>
      <c r="BN27" s="48">
        <v>115.04639782191788</v>
      </c>
      <c r="BO27" s="48">
        <v>1050.9416686613383</v>
      </c>
      <c r="BP27" s="55"/>
      <c r="BV27" s="56"/>
      <c r="BY27" s="57"/>
    </row>
    <row r="28" spans="2:77" ht="19.2" thickTop="1" thickBot="1" x14ac:dyDescent="0.4">
      <c r="B28" s="62"/>
      <c r="C28" s="85" t="s">
        <v>404</v>
      </c>
      <c r="D28" s="85"/>
      <c r="E28" s="365">
        <f>IF($Q$23=1,INDEX($AP$6:$AP$14,$Q$24),INDEX($AO$30:$AO$41,$Q$23-1,1))</f>
        <v>10000</v>
      </c>
      <c r="F28" s="152"/>
      <c r="I28" s="163"/>
      <c r="J28" s="184"/>
      <c r="K28" s="184"/>
      <c r="L28" s="54"/>
      <c r="M28" s="141"/>
      <c r="N28" s="54"/>
      <c r="Z28" s="584"/>
      <c r="AA28" s="585"/>
      <c r="AB28" s="586"/>
      <c r="AC28" s="78" t="s">
        <v>87</v>
      </c>
      <c r="AD28" s="79" t="s">
        <v>88</v>
      </c>
      <c r="AE28" s="79" t="s">
        <v>89</v>
      </c>
      <c r="AF28" s="79" t="s">
        <v>37</v>
      </c>
      <c r="AG28" s="79" t="s">
        <v>90</v>
      </c>
      <c r="AH28" s="79" t="s">
        <v>91</v>
      </c>
      <c r="AI28" s="80" t="s">
        <v>92</v>
      </c>
      <c r="AJ28" s="591"/>
      <c r="AK28" s="81" t="s">
        <v>261</v>
      </c>
      <c r="AL28" s="81" t="s">
        <v>262</v>
      </c>
      <c r="AM28" s="81" t="s">
        <v>263</v>
      </c>
      <c r="AN28" s="82" t="s">
        <v>264</v>
      </c>
      <c r="AO28" s="691"/>
      <c r="AP28" s="520"/>
      <c r="AQ28" s="155"/>
      <c r="AS28" s="168">
        <f>1.2*$BA$16</f>
        <v>60</v>
      </c>
      <c r="AT28" s="168">
        <f>1.2*$BA$16*$J$24</f>
        <v>60</v>
      </c>
      <c r="AU28" s="168">
        <v>2.7849533001676665</v>
      </c>
      <c r="AV28" s="168">
        <v>67.063632865553899</v>
      </c>
      <c r="AW28" s="168">
        <v>135.54615301310344</v>
      </c>
      <c r="AX28" s="168">
        <v>2123.7590768154287</v>
      </c>
      <c r="AY28" s="168">
        <v>56.779015264230146</v>
      </c>
      <c r="AZ28" s="168">
        <v>402.70053371449211</v>
      </c>
      <c r="BA28" s="168">
        <v>5272.4480475823248</v>
      </c>
      <c r="BB28" s="168">
        <v>57.068697544495684</v>
      </c>
      <c r="BC28" s="168">
        <v>626.11757106765333</v>
      </c>
      <c r="BE28" s="161">
        <f>1.2*$BL$16</f>
        <v>60</v>
      </c>
      <c r="BF28" s="161">
        <v>2.7849533001676665</v>
      </c>
      <c r="BG28" s="161">
        <v>60</v>
      </c>
      <c r="BH28" s="161">
        <v>67.063632865553899</v>
      </c>
      <c r="BI28" s="161">
        <v>135.54615301310344</v>
      </c>
      <c r="BJ28" s="161">
        <v>2123.7590768154287</v>
      </c>
      <c r="BK28" s="161">
        <v>56.779015264230146</v>
      </c>
      <c r="BL28" s="161">
        <v>402.70053371449211</v>
      </c>
      <c r="BM28" s="161">
        <v>5272.4480475823248</v>
      </c>
      <c r="BN28" s="161">
        <v>57.068697544495684</v>
      </c>
      <c r="BO28" s="161">
        <v>626.11757106765333</v>
      </c>
      <c r="BP28" s="55"/>
      <c r="BV28" s="56"/>
      <c r="BY28" s="57"/>
    </row>
    <row r="29" spans="2:77" ht="16.2" thickBot="1" x14ac:dyDescent="0.35">
      <c r="B29" s="62"/>
      <c r="C29" s="85" t="s">
        <v>405</v>
      </c>
      <c r="D29" s="85"/>
      <c r="E29" s="365">
        <f>IF($Q$23=1,INDEX($AP$16:$AP$24,$Q$24),INDEX($AO$43:$AO$54,$Q$23-1,1))</f>
        <v>10000</v>
      </c>
      <c r="F29" s="152"/>
      <c r="I29" s="72"/>
      <c r="L29" s="54"/>
      <c r="M29" s="141"/>
      <c r="N29" s="54"/>
      <c r="O29" s="111" t="s">
        <v>159</v>
      </c>
      <c r="R29" s="190"/>
      <c r="T29" s="111" t="s">
        <v>157</v>
      </c>
      <c r="Z29" s="587" t="s">
        <v>144</v>
      </c>
      <c r="AA29" s="588"/>
      <c r="AB29" s="588"/>
      <c r="AC29" s="588"/>
      <c r="AD29" s="588"/>
      <c r="AE29" s="588"/>
      <c r="AF29" s="588"/>
      <c r="AG29" s="588"/>
      <c r="AH29" s="588"/>
      <c r="AI29" s="588"/>
      <c r="AJ29" s="588"/>
      <c r="AK29" s="588"/>
      <c r="AL29" s="588"/>
      <c r="AM29" s="588"/>
      <c r="AN29" s="588"/>
      <c r="AO29" s="675"/>
      <c r="AP29" s="191"/>
      <c r="AS29" s="168">
        <f>1.4*$BA$16</f>
        <v>70</v>
      </c>
      <c r="AT29" s="168">
        <f>1.4*$BA$16*$J$24</f>
        <v>70</v>
      </c>
      <c r="AU29" s="168">
        <v>3.2491121835289443</v>
      </c>
      <c r="AV29" s="168">
        <v>87.896148325349941</v>
      </c>
      <c r="AW29" s="168">
        <v>97.949551401536837</v>
      </c>
      <c r="AX29" s="168">
        <v>1867.6570847846237</v>
      </c>
      <c r="AY29" s="168">
        <v>64.970353749642157</v>
      </c>
      <c r="AZ29" s="168">
        <v>268.16430198962792</v>
      </c>
      <c r="BA29" s="168">
        <v>4405.8168897008718</v>
      </c>
      <c r="BB29" s="168">
        <v>31.602528318502724</v>
      </c>
      <c r="BC29" s="168">
        <v>408.56804875865191</v>
      </c>
      <c r="BE29" s="168">
        <f>1.4*$BL$16</f>
        <v>70</v>
      </c>
      <c r="BF29" s="168">
        <v>3.2491121835289443</v>
      </c>
      <c r="BG29" s="168">
        <v>70</v>
      </c>
      <c r="BH29" s="168">
        <v>87.896148325349941</v>
      </c>
      <c r="BI29" s="168">
        <v>97.949551401536837</v>
      </c>
      <c r="BJ29" s="168">
        <v>1867.6570847846237</v>
      </c>
      <c r="BK29" s="168">
        <v>64.970353749642157</v>
      </c>
      <c r="BL29" s="168">
        <v>268.16430198962792</v>
      </c>
      <c r="BM29" s="168">
        <v>4405.8168897008718</v>
      </c>
      <c r="BN29" s="168">
        <v>31.602528318502724</v>
      </c>
      <c r="BO29" s="168">
        <v>408.56804875865191</v>
      </c>
      <c r="BP29" s="55"/>
      <c r="BV29" s="56"/>
      <c r="BY29" s="57"/>
    </row>
    <row r="30" spans="2:77" ht="22.8" x14ac:dyDescent="0.4">
      <c r="B30" s="62"/>
      <c r="C30" s="185" t="s">
        <v>615</v>
      </c>
      <c r="D30" s="185"/>
      <c r="E30" s="186"/>
      <c r="F30" s="186"/>
      <c r="G30" s="186"/>
      <c r="H30" s="186"/>
      <c r="I30" s="186"/>
      <c r="J30" s="187"/>
      <c r="K30" s="187"/>
      <c r="L30" s="188"/>
      <c r="M30" s="189"/>
      <c r="N30" s="60"/>
      <c r="P30" s="193" t="s">
        <v>116</v>
      </c>
      <c r="Q30" s="74" t="s">
        <v>117</v>
      </c>
      <c r="R30" s="194"/>
      <c r="S30" s="74"/>
      <c r="T30" s="76" t="s">
        <v>156</v>
      </c>
      <c r="U30" s="74" t="s">
        <v>117</v>
      </c>
      <c r="Z30" s="501" t="s">
        <v>72</v>
      </c>
      <c r="AA30" s="502"/>
      <c r="AB30" s="503"/>
      <c r="AC30" s="384">
        <v>-0.69228441818579745</v>
      </c>
      <c r="AD30" s="384">
        <v>-0.12757263755531473</v>
      </c>
      <c r="AE30" s="384">
        <v>0.76860226236326723</v>
      </c>
      <c r="AF30" s="384">
        <v>-0.7121440253332697</v>
      </c>
      <c r="AG30" s="384">
        <v>0.196430344330073</v>
      </c>
      <c r="AH30" s="384">
        <v>-1.6517899999999999E-2</v>
      </c>
      <c r="AI30" s="384">
        <v>0</v>
      </c>
      <c r="AJ30" s="105">
        <f>EXP(AC30+AD30*LN($Y$3)+AE30*(LN($Y$3))^2+AF30*(LN($Y$3))^3+AG30*(LN($Y$3))^4+AH30*(LN($Y$3))^5+AI30*(LN($Y$3))^6)</f>
        <v>0.49507646597616789</v>
      </c>
      <c r="AK30" s="387">
        <v>0.79339999999999999</v>
      </c>
      <c r="AL30" s="387">
        <v>59.505000000000003</v>
      </c>
      <c r="AM30" s="388">
        <v>1.1953</v>
      </c>
      <c r="AN30" s="388">
        <v>0.36</v>
      </c>
      <c r="AO30" s="427">
        <f>IF($Y$3&gt;AL30,AN30*$Y$5*2.20462,IF($Y$3&gt;AK30,$Y$5*AJ30*2.20462,AM30*$Y$5*2.20462))</f>
        <v>10914.55478420379</v>
      </c>
      <c r="AP30" s="54" t="s">
        <v>277</v>
      </c>
      <c r="AQ30" s="109"/>
      <c r="AS30" s="168">
        <f>1.6*$BA$16</f>
        <v>80</v>
      </c>
      <c r="AT30" s="168">
        <f>1.6*$BA$16*$J$24</f>
        <v>80</v>
      </c>
      <c r="AU30" s="168">
        <v>3.713271066890222</v>
      </c>
      <c r="AV30" s="168">
        <v>110.21739711131997</v>
      </c>
      <c r="AW30" s="168">
        <v>74.908821779084491</v>
      </c>
      <c r="AX30" s="168">
        <v>1665.2042541315723</v>
      </c>
      <c r="AY30" s="168">
        <v>70.884338199084453</v>
      </c>
      <c r="AZ30" s="168">
        <v>193.25960355526104</v>
      </c>
      <c r="BA30" s="168">
        <v>3780.066271724525</v>
      </c>
      <c r="BB30" s="168">
        <v>19.061035963533932</v>
      </c>
      <c r="BC30" s="168">
        <v>285.00805718039999</v>
      </c>
      <c r="BE30" s="168">
        <f>1.6*$BL$16</f>
        <v>80</v>
      </c>
      <c r="BF30" s="168">
        <v>3.713271066890222</v>
      </c>
      <c r="BG30" s="168">
        <v>80</v>
      </c>
      <c r="BH30" s="168">
        <v>110.21739711131997</v>
      </c>
      <c r="BI30" s="168">
        <v>74.908821779084491</v>
      </c>
      <c r="BJ30" s="168">
        <v>1665.2042541315723</v>
      </c>
      <c r="BK30" s="168">
        <v>70.884338199084453</v>
      </c>
      <c r="BL30" s="168">
        <v>193.25960355526104</v>
      </c>
      <c r="BM30" s="168">
        <v>3780.066271724525</v>
      </c>
      <c r="BN30" s="168">
        <v>19.061035963533932</v>
      </c>
      <c r="BO30" s="168">
        <v>285.00805718039999</v>
      </c>
      <c r="BP30" s="55"/>
      <c r="BV30" s="56"/>
      <c r="BY30" s="57"/>
    </row>
    <row r="31" spans="2:77" ht="22.8" x14ac:dyDescent="0.4">
      <c r="B31" s="62"/>
      <c r="C31" s="512" t="s">
        <v>1</v>
      </c>
      <c r="D31" s="512"/>
      <c r="E31" s="512"/>
      <c r="F31" s="512"/>
      <c r="G31" s="512"/>
      <c r="H31" s="192"/>
      <c r="I31" s="512" t="s">
        <v>555</v>
      </c>
      <c r="J31" s="512"/>
      <c r="K31" s="512"/>
      <c r="L31" s="512"/>
      <c r="M31" s="189"/>
      <c r="N31" s="60"/>
      <c r="P31" s="54" t="s">
        <v>472</v>
      </c>
      <c r="Q31" s="199">
        <f>IF(T26="Number of Munitions","N/A",E9)</f>
        <v>10000</v>
      </c>
      <c r="R31" s="200"/>
      <c r="S31" s="199"/>
      <c r="T31" s="85" t="s">
        <v>484</v>
      </c>
      <c r="U31" s="105">
        <v>101.325</v>
      </c>
      <c r="Z31" s="501" t="s">
        <v>73</v>
      </c>
      <c r="AA31" s="502"/>
      <c r="AB31" s="503"/>
      <c r="AC31" s="385">
        <v>-2.8156370750344033</v>
      </c>
      <c r="AD31" s="385">
        <v>1.3658529421895773</v>
      </c>
      <c r="AE31" s="385">
        <v>-9.3555023760056588E-2</v>
      </c>
      <c r="AF31" s="385">
        <v>-9.3980785716242562E-2</v>
      </c>
      <c r="AG31" s="385">
        <v>5.6606406571901823E-3</v>
      </c>
      <c r="AH31" s="385">
        <v>1.2143812999999999E-3</v>
      </c>
      <c r="AI31" s="385">
        <v>0</v>
      </c>
      <c r="AJ31" s="97">
        <f t="shared" ref="AJ31:AJ39" si="4">EXP(AC31+AD31*LN($Y$3)+AE31*(LN($Y$3))^2+AF31*(LN($Y$3))^3+AG31*(LN($Y$3))^4+AH31*(LN($Y$3))^5+AI31*(LN($Y$3))^6)</f>
        <v>0.29008132763131911</v>
      </c>
      <c r="AK31" s="389">
        <v>0.31736000000000003</v>
      </c>
      <c r="AL31" s="389">
        <v>59.505000000000003</v>
      </c>
      <c r="AM31" s="390">
        <v>1.27005872E-2</v>
      </c>
      <c r="AN31" s="390">
        <v>0.1070478064</v>
      </c>
      <c r="AO31" s="427">
        <f t="shared" ref="AO31:AO39" si="5">IF($Y$3&gt;AL31,AN31*$Y$5*2.20462,IF($Y$3&gt;AK31,$Y$5*AJ31*2.20462,AM31*$Y$5*2.20462))</f>
        <v>6395.1909652255872</v>
      </c>
      <c r="AP31" s="54" t="s">
        <v>277</v>
      </c>
      <c r="AQ31" s="109"/>
      <c r="AS31" s="168">
        <f>1.8*$BA$16</f>
        <v>90</v>
      </c>
      <c r="AT31" s="168">
        <f>1.8*$BA$16*$J$24</f>
        <v>90</v>
      </c>
      <c r="AU31" s="168">
        <v>4.1774299502514998</v>
      </c>
      <c r="AV31" s="168">
        <v>133.68087647954624</v>
      </c>
      <c r="AW31" s="168">
        <v>59.801247648814225</v>
      </c>
      <c r="AX31" s="168">
        <v>1501.5266725782412</v>
      </c>
      <c r="AY31" s="168">
        <v>75.473094570295416</v>
      </c>
      <c r="AZ31" s="168">
        <v>147.55741646437502</v>
      </c>
      <c r="BA31" s="168">
        <v>3307.8937281551493</v>
      </c>
      <c r="BB31" s="168">
        <v>12.302130618763298</v>
      </c>
      <c r="BC31" s="168">
        <v>210.18135447542167</v>
      </c>
      <c r="BE31" s="168">
        <f>1.8*$BL$16</f>
        <v>90</v>
      </c>
      <c r="BF31" s="168">
        <v>4.1774299502514998</v>
      </c>
      <c r="BG31" s="168">
        <v>90</v>
      </c>
      <c r="BH31" s="168">
        <v>133.68087647954624</v>
      </c>
      <c r="BI31" s="168">
        <v>59.801247648814225</v>
      </c>
      <c r="BJ31" s="168">
        <v>1501.5266725782412</v>
      </c>
      <c r="BK31" s="168">
        <v>75.473094570295416</v>
      </c>
      <c r="BL31" s="168">
        <v>147.55741646437502</v>
      </c>
      <c r="BM31" s="168">
        <v>3307.8937281551493</v>
      </c>
      <c r="BN31" s="168">
        <v>12.302130618763298</v>
      </c>
      <c r="BO31" s="168">
        <v>210.18135447542167</v>
      </c>
      <c r="BP31" s="55"/>
      <c r="BV31" s="56"/>
      <c r="BY31" s="57"/>
    </row>
    <row r="32" spans="2:77" ht="17.399999999999999" x14ac:dyDescent="0.3">
      <c r="B32" s="62"/>
      <c r="C32" s="196"/>
      <c r="D32" s="196"/>
      <c r="E32" s="509" t="s">
        <v>554</v>
      </c>
      <c r="F32" s="601" t="s">
        <v>614</v>
      </c>
      <c r="G32" s="602"/>
      <c r="H32" s="323"/>
      <c r="I32" s="513" t="s">
        <v>559</v>
      </c>
      <c r="J32" s="511"/>
      <c r="K32" s="511"/>
      <c r="L32" s="511"/>
      <c r="M32" s="198"/>
      <c r="N32" s="155"/>
      <c r="P32" s="54" t="s">
        <v>233</v>
      </c>
      <c r="Q32" s="178" t="str">
        <f>IF(T26="Number of Munitions",E9,"N/A")</f>
        <v>N/A</v>
      </c>
      <c r="R32" s="202"/>
      <c r="S32" s="178"/>
      <c r="Z32" s="501" t="s">
        <v>39</v>
      </c>
      <c r="AA32" s="502"/>
      <c r="AB32" s="503"/>
      <c r="AC32" s="385">
        <v>-2.9134317452625353</v>
      </c>
      <c r="AD32" s="385">
        <v>0.83440949600017511</v>
      </c>
      <c r="AE32" s="385">
        <v>0.13008104631502962</v>
      </c>
      <c r="AF32" s="385">
        <v>-0.14164397847488749</v>
      </c>
      <c r="AG32" s="385">
        <v>-1.0561050157454118E-2</v>
      </c>
      <c r="AH32" s="385">
        <v>1.1494179574881348E-2</v>
      </c>
      <c r="AI32" s="385">
        <v>-1.2226299999999999E-3</v>
      </c>
      <c r="AJ32" s="97">
        <f t="shared" si="4"/>
        <v>0.16282724836477583</v>
      </c>
      <c r="AK32" s="389">
        <v>0.3967</v>
      </c>
      <c r="AL32" s="389">
        <v>59.505000000000003</v>
      </c>
      <c r="AM32" s="390">
        <v>3.0844283200000003E-2</v>
      </c>
      <c r="AN32" s="390">
        <v>7.892507759999999E-2</v>
      </c>
      <c r="AO32" s="427">
        <f t="shared" si="5"/>
        <v>3589.7220828995205</v>
      </c>
      <c r="AP32" s="54" t="s">
        <v>277</v>
      </c>
      <c r="AQ32" s="109"/>
      <c r="AS32" s="168">
        <f>2*$BA$16</f>
        <v>100</v>
      </c>
      <c r="AT32" s="168">
        <f>2*$BA$16*$J$24</f>
        <v>100</v>
      </c>
      <c r="AU32" s="168">
        <v>4.6415888336127775</v>
      </c>
      <c r="AV32" s="168">
        <v>158.02100971019939</v>
      </c>
      <c r="AW32" s="168">
        <v>49.31156135724909</v>
      </c>
      <c r="AX32" s="168">
        <v>1366.6656291965537</v>
      </c>
      <c r="AY32" s="168">
        <v>79.188624587534818</v>
      </c>
      <c r="AZ32" s="168">
        <v>117.63505483326347</v>
      </c>
      <c r="BA32" s="168">
        <v>2939.3873235593283</v>
      </c>
      <c r="BB32" s="168">
        <v>8.385807749576637</v>
      </c>
      <c r="BC32" s="168">
        <v>161.8827004513237</v>
      </c>
      <c r="BE32" s="168">
        <f>2*$BL$16</f>
        <v>100</v>
      </c>
      <c r="BF32" s="168">
        <v>4.6415888336127775</v>
      </c>
      <c r="BG32" s="168">
        <v>100</v>
      </c>
      <c r="BH32" s="168">
        <v>158.02100971019939</v>
      </c>
      <c r="BI32" s="168">
        <v>49.31156135724909</v>
      </c>
      <c r="BJ32" s="168">
        <v>1366.6656291965537</v>
      </c>
      <c r="BK32" s="168">
        <v>79.188624587534818</v>
      </c>
      <c r="BL32" s="168">
        <v>117.63505483326347</v>
      </c>
      <c r="BM32" s="168">
        <v>2939.3873235593283</v>
      </c>
      <c r="BN32" s="168">
        <v>8.385807749576637</v>
      </c>
      <c r="BO32" s="168">
        <v>161.8827004513237</v>
      </c>
      <c r="BP32" s="55"/>
      <c r="BV32" s="56"/>
      <c r="BY32" s="57"/>
    </row>
    <row r="33" spans="1:77" ht="17.399999999999999" x14ac:dyDescent="0.3">
      <c r="B33" s="62"/>
      <c r="C33" s="196"/>
      <c r="D33" s="196"/>
      <c r="E33" s="650"/>
      <c r="F33" s="603">
        <f>Q67</f>
        <v>0</v>
      </c>
      <c r="G33" s="522"/>
      <c r="H33" s="323"/>
      <c r="J33" s="201"/>
      <c r="K33" s="201"/>
      <c r="L33" s="155"/>
      <c r="M33" s="198"/>
      <c r="N33" s="155"/>
      <c r="P33" s="54" t="s">
        <v>473</v>
      </c>
      <c r="Q33" s="199">
        <f>I6</f>
        <v>100</v>
      </c>
      <c r="R33" s="202"/>
      <c r="S33" s="178"/>
      <c r="Z33" s="501" t="s">
        <v>42</v>
      </c>
      <c r="AA33" s="502"/>
      <c r="AB33" s="503"/>
      <c r="AC33" s="385">
        <v>-0.9741843863576316</v>
      </c>
      <c r="AD33" s="385">
        <v>-0.75785719012776354</v>
      </c>
      <c r="AE33" s="385">
        <v>1.407098236370937</v>
      </c>
      <c r="AF33" s="385">
        <v>-0.90883021236770278</v>
      </c>
      <c r="AG33" s="385">
        <v>0.22973609561021249</v>
      </c>
      <c r="AH33" s="385">
        <v>-2.0674000000000001E-2</v>
      </c>
      <c r="AI33" s="385">
        <v>0</v>
      </c>
      <c r="AJ33" s="97">
        <f t="shared" si="4"/>
        <v>0.36427015710647942</v>
      </c>
      <c r="AK33" s="389">
        <v>0.79339999999999999</v>
      </c>
      <c r="AL33" s="389">
        <v>31.736000000000001</v>
      </c>
      <c r="AM33" s="390">
        <v>0.49532290080000002</v>
      </c>
      <c r="AN33" s="390">
        <v>0.17916899800000002</v>
      </c>
      <c r="AO33" s="427">
        <f t="shared" si="5"/>
        <v>8030.7727376008661</v>
      </c>
      <c r="AP33" s="54" t="s">
        <v>277</v>
      </c>
      <c r="AQ33" s="109"/>
      <c r="AS33" s="168">
        <f>2.25*$BA$16</f>
        <v>112.5</v>
      </c>
      <c r="AT33" s="168">
        <f>2.25*$BA$16*$J$24</f>
        <v>112.5</v>
      </c>
      <c r="AU33" s="168">
        <v>5.2217874378143749</v>
      </c>
      <c r="AV33" s="168">
        <v>189.37567928138245</v>
      </c>
      <c r="AW33" s="168">
        <v>40.114939026984253</v>
      </c>
      <c r="AX33" s="168">
        <v>1228.3396614759133</v>
      </c>
      <c r="AY33" s="168">
        <v>83.034705366685188</v>
      </c>
      <c r="AZ33" s="168">
        <v>92.74136649835215</v>
      </c>
      <c r="BA33" s="168">
        <v>2579.1447582568289</v>
      </c>
      <c r="BB33" s="168">
        <v>5.5262816037040245</v>
      </c>
      <c r="BC33" s="168">
        <v>122.31616414384999</v>
      </c>
      <c r="BE33" s="168">
        <f>2.25*$BL$16</f>
        <v>112.5</v>
      </c>
      <c r="BF33" s="168">
        <v>5.2217874378143749</v>
      </c>
      <c r="BG33" s="168">
        <v>112.5</v>
      </c>
      <c r="BH33" s="168">
        <v>189.37567928138245</v>
      </c>
      <c r="BI33" s="168">
        <v>40.114939026984253</v>
      </c>
      <c r="BJ33" s="168">
        <v>1228.3396614759133</v>
      </c>
      <c r="BK33" s="168">
        <v>83.034705366685188</v>
      </c>
      <c r="BL33" s="168">
        <v>92.74136649835215</v>
      </c>
      <c r="BM33" s="168">
        <v>2579.1447582568289</v>
      </c>
      <c r="BN33" s="168">
        <v>5.5262816037040245</v>
      </c>
      <c r="BO33" s="168">
        <v>122.31616414384999</v>
      </c>
      <c r="BP33" s="55"/>
      <c r="BV33" s="56"/>
      <c r="BY33" s="57"/>
    </row>
    <row r="34" spans="1:77" ht="19.2" x14ac:dyDescent="0.35">
      <c r="B34" s="62"/>
      <c r="C34" s="85" t="s">
        <v>455</v>
      </c>
      <c r="D34" s="85"/>
      <c r="E34" s="203">
        <f>Q76</f>
        <v>100</v>
      </c>
      <c r="F34" s="604">
        <f>I6</f>
        <v>100</v>
      </c>
      <c r="G34" s="602"/>
      <c r="H34" s="324"/>
      <c r="I34" s="84" t="s">
        <v>460</v>
      </c>
      <c r="J34" s="352"/>
      <c r="K34" s="352"/>
      <c r="L34" s="205"/>
      <c r="M34" s="204"/>
      <c r="N34" s="205"/>
      <c r="P34" s="54" t="s">
        <v>94</v>
      </c>
      <c r="Q34" s="178">
        <f>IF(T27="Altitude (meters)",K11,"N/A")</f>
        <v>0</v>
      </c>
      <c r="R34" s="202"/>
      <c r="S34" s="178"/>
      <c r="U34" s="105"/>
      <c r="Z34" s="501" t="s">
        <v>45</v>
      </c>
      <c r="AA34" s="502"/>
      <c r="AB34" s="503"/>
      <c r="AC34" s="385">
        <v>-3.8855731676549246</v>
      </c>
      <c r="AD34" s="385">
        <v>2.320542623539128</v>
      </c>
      <c r="AE34" s="385">
        <v>-8.420474712538234E-2</v>
      </c>
      <c r="AF34" s="385">
        <v>-0.25524537217442339</v>
      </c>
      <c r="AG34" s="385">
        <v>4.9110000000000001E-2</v>
      </c>
      <c r="AH34" s="385">
        <v>0</v>
      </c>
      <c r="AI34" s="385">
        <v>0</v>
      </c>
      <c r="AJ34" s="97">
        <f t="shared" si="4"/>
        <v>0.30961838251617407</v>
      </c>
      <c r="AK34" s="389">
        <v>0.3967</v>
      </c>
      <c r="AL34" s="389">
        <v>39.67</v>
      </c>
      <c r="AM34" s="390">
        <v>2.8122728799999997E-3</v>
      </c>
      <c r="AN34" s="390">
        <v>0.81646632000000008</v>
      </c>
      <c r="AO34" s="427">
        <f t="shared" si="5"/>
        <v>6825.9087846280754</v>
      </c>
      <c r="AP34" s="54" t="s">
        <v>277</v>
      </c>
      <c r="AQ34" s="210"/>
      <c r="AS34" s="168">
        <f>2.5*$BA$16</f>
        <v>125</v>
      </c>
      <c r="AT34" s="168">
        <f>2.5*$BA$16*$J$24</f>
        <v>125</v>
      </c>
      <c r="AU34" s="168">
        <v>5.8019860420159723</v>
      </c>
      <c r="AV34" s="168">
        <v>221.49625558775176</v>
      </c>
      <c r="AW34" s="168">
        <v>33.613074869974206</v>
      </c>
      <c r="AX34" s="168">
        <v>1115.2087357531125</v>
      </c>
      <c r="AY34" s="168">
        <v>86.305710700486387</v>
      </c>
      <c r="AZ34" s="168">
        <v>75.948492889452879</v>
      </c>
      <c r="BA34" s="168">
        <v>2296.9309269154382</v>
      </c>
      <c r="BB34" s="168">
        <v>3.8500757820924107</v>
      </c>
      <c r="BC34" s="168">
        <v>96.0079662768227</v>
      </c>
      <c r="BE34" s="168">
        <f>2.5*$BL$16</f>
        <v>125</v>
      </c>
      <c r="BF34" s="168">
        <v>5.8019860420159723</v>
      </c>
      <c r="BG34" s="168">
        <v>125</v>
      </c>
      <c r="BH34" s="168">
        <v>221.49625558775176</v>
      </c>
      <c r="BI34" s="168">
        <v>33.613074869974206</v>
      </c>
      <c r="BJ34" s="168">
        <v>1115.2087357531125</v>
      </c>
      <c r="BK34" s="168">
        <v>86.305710700486387</v>
      </c>
      <c r="BL34" s="168">
        <v>75.948492889452879</v>
      </c>
      <c r="BM34" s="168">
        <v>2296.9309269154382</v>
      </c>
      <c r="BN34" s="168">
        <v>3.8500757820924107</v>
      </c>
      <c r="BO34" s="168">
        <v>96.0079662768227</v>
      </c>
      <c r="BP34" s="55"/>
      <c r="BV34" s="56"/>
      <c r="BY34" s="57"/>
    </row>
    <row r="35" spans="1:77" x14ac:dyDescent="0.3">
      <c r="B35" s="62"/>
      <c r="C35" s="206"/>
      <c r="D35" s="206"/>
      <c r="E35" s="207"/>
      <c r="F35" s="504"/>
      <c r="G35" s="505"/>
      <c r="H35" s="325"/>
      <c r="I35" s="208" t="s">
        <v>461</v>
      </c>
      <c r="J35" s="155"/>
      <c r="K35" s="434">
        <f>AM125</f>
        <v>1</v>
      </c>
      <c r="L35" s="54"/>
      <c r="M35" s="141"/>
      <c r="N35" s="54"/>
      <c r="P35" s="54" t="s">
        <v>454</v>
      </c>
      <c r="Q35" s="178" t="str">
        <f>IF(T27="Pressure (kPa)",K9,"N/A")</f>
        <v>N/A</v>
      </c>
      <c r="R35" s="202"/>
      <c r="S35" s="178"/>
      <c r="Z35" s="501" t="s">
        <v>0</v>
      </c>
      <c r="AA35" s="502"/>
      <c r="AB35" s="503"/>
      <c r="AC35" s="385">
        <v>-2.9966970184777209</v>
      </c>
      <c r="AD35" s="385">
        <v>1.1121644611208032</v>
      </c>
      <c r="AE35" s="385">
        <v>-0.16492171327904165</v>
      </c>
      <c r="AF35" s="385">
        <v>-2.9998E-2</v>
      </c>
      <c r="AG35" s="385">
        <v>0</v>
      </c>
      <c r="AH35" s="385">
        <v>0</v>
      </c>
      <c r="AI35" s="385">
        <v>0</v>
      </c>
      <c r="AJ35" s="97">
        <f t="shared" si="4"/>
        <v>0.16753017027325848</v>
      </c>
      <c r="AK35" s="389">
        <v>0.35703000000000001</v>
      </c>
      <c r="AL35" s="389">
        <v>39.67</v>
      </c>
      <c r="AM35" s="390">
        <v>1.3607771999999999E-2</v>
      </c>
      <c r="AN35" s="390">
        <v>7.1667599200000001E-2</v>
      </c>
      <c r="AO35" s="427">
        <f t="shared" si="5"/>
        <v>3693.4036398783105</v>
      </c>
      <c r="AP35" s="54" t="s">
        <v>277</v>
      </c>
      <c r="AQ35" s="109"/>
      <c r="AS35" s="168">
        <f>2.75*$BA$16</f>
        <v>137.5</v>
      </c>
      <c r="AT35" s="168">
        <f>2.75*$BA$16*$J$24</f>
        <v>137.5</v>
      </c>
      <c r="AU35" s="168">
        <v>6.3821846462175698</v>
      </c>
      <c r="AV35" s="168">
        <v>254.17622554774712</v>
      </c>
      <c r="AW35" s="168">
        <v>28.816102605294724</v>
      </c>
      <c r="AX35" s="168">
        <v>1021.0349762464817</v>
      </c>
      <c r="AY35" s="168">
        <v>89.201070548784571</v>
      </c>
      <c r="AZ35" s="168">
        <v>64.005251652233724</v>
      </c>
      <c r="BA35" s="168">
        <v>2069.9945439751955</v>
      </c>
      <c r="BB35" s="168">
        <v>2.8053271872689347</v>
      </c>
      <c r="BC35" s="168">
        <v>77.515313613996128</v>
      </c>
      <c r="BE35" s="168">
        <f>2.75*$BL$16</f>
        <v>137.5</v>
      </c>
      <c r="BF35" s="168">
        <v>6.3821846462175698</v>
      </c>
      <c r="BG35" s="168">
        <v>137.5</v>
      </c>
      <c r="BH35" s="168">
        <v>254.17622554774712</v>
      </c>
      <c r="BI35" s="168">
        <v>28.816102605294724</v>
      </c>
      <c r="BJ35" s="168">
        <v>1021.0349762464817</v>
      </c>
      <c r="BK35" s="168">
        <v>89.201070548784571</v>
      </c>
      <c r="BL35" s="168">
        <v>64.005251652233724</v>
      </c>
      <c r="BM35" s="168">
        <v>2069.9945439751955</v>
      </c>
      <c r="BN35" s="168">
        <v>2.8053271872689347</v>
      </c>
      <c r="BO35" s="168">
        <v>77.515313613996128</v>
      </c>
      <c r="BP35" s="55"/>
      <c r="BV35" s="56"/>
      <c r="BY35" s="57"/>
    </row>
    <row r="36" spans="1:77" ht="18.600000000000001" x14ac:dyDescent="0.3">
      <c r="B36" s="62"/>
      <c r="C36" s="54" t="s">
        <v>71</v>
      </c>
      <c r="D36" s="54"/>
      <c r="E36" s="211">
        <f>Q77</f>
        <v>4.6415888336127775</v>
      </c>
      <c r="F36" s="504">
        <f>Q49</f>
        <v>4.6415888336127775</v>
      </c>
      <c r="G36" s="505"/>
      <c r="H36" s="326"/>
      <c r="I36" s="66" t="s">
        <v>25</v>
      </c>
      <c r="J36" s="209"/>
      <c r="K36" s="431"/>
      <c r="L36" s="155"/>
      <c r="M36" s="198"/>
      <c r="N36" s="155"/>
      <c r="P36" s="54" t="s">
        <v>219</v>
      </c>
      <c r="Q36" s="212">
        <f>I9</f>
        <v>15</v>
      </c>
      <c r="R36" s="213"/>
      <c r="S36" s="178"/>
      <c r="T36" s="364"/>
      <c r="Z36" s="501" t="s">
        <v>585</v>
      </c>
      <c r="AA36" s="502"/>
      <c r="AB36" s="503"/>
      <c r="AC36" s="385">
        <v>-3.0239603664454355</v>
      </c>
      <c r="AD36" s="385">
        <v>1.5138918929198502</v>
      </c>
      <c r="AE36" s="385">
        <v>-0.31523721417498957</v>
      </c>
      <c r="AF36" s="385">
        <v>-5.9409746321706182E-2</v>
      </c>
      <c r="AG36" s="385">
        <v>2.2001284449064615E-2</v>
      </c>
      <c r="AH36" s="385">
        <v>-9.8525000000000001E-4</v>
      </c>
      <c r="AI36" s="385">
        <v>0</v>
      </c>
      <c r="AJ36" s="97">
        <f t="shared" si="4"/>
        <v>0.21352409330945221</v>
      </c>
      <c r="AK36" s="389">
        <v>0.63472000000000006</v>
      </c>
      <c r="AL36" s="389">
        <v>58.711599999999997</v>
      </c>
      <c r="AM36" s="390">
        <v>2.2679620000000001E-2</v>
      </c>
      <c r="AN36" s="390">
        <v>0.32205060399999996</v>
      </c>
      <c r="AO36" s="427">
        <f t="shared" si="5"/>
        <v>4707.3948659188445</v>
      </c>
      <c r="AP36" s="54" t="s">
        <v>277</v>
      </c>
      <c r="AQ36" s="109"/>
      <c r="AS36" s="168">
        <f>3*$BA$16</f>
        <v>150</v>
      </c>
      <c r="AT36" s="168">
        <f>3*$BA$16*$J$24</f>
        <v>150</v>
      </c>
      <c r="AU36" s="168">
        <v>6.9623832504191663</v>
      </c>
      <c r="AV36" s="168">
        <v>287.26912831231459</v>
      </c>
      <c r="AW36" s="168">
        <v>25.154266801649815</v>
      </c>
      <c r="AX36" s="168">
        <v>941.46336067104585</v>
      </c>
      <c r="AY36" s="168">
        <v>91.838280631390035</v>
      </c>
      <c r="AZ36" s="168">
        <v>55.147507193695496</v>
      </c>
      <c r="BA36" s="168">
        <v>1883.6095035861158</v>
      </c>
      <c r="BB36" s="168">
        <v>2.1204712684763991</v>
      </c>
      <c r="BC36" s="168">
        <v>63.944032945973731</v>
      </c>
      <c r="BE36" s="168">
        <f>3*$BL$16</f>
        <v>150</v>
      </c>
      <c r="BF36" s="168">
        <v>6.9623832504191663</v>
      </c>
      <c r="BG36" s="168">
        <v>150</v>
      </c>
      <c r="BH36" s="168">
        <v>287.26912831231459</v>
      </c>
      <c r="BI36" s="168">
        <v>25.154266801649815</v>
      </c>
      <c r="BJ36" s="168">
        <v>941.46336067104585</v>
      </c>
      <c r="BK36" s="168">
        <v>91.838280631390035</v>
      </c>
      <c r="BL36" s="168">
        <v>55.147507193695496</v>
      </c>
      <c r="BM36" s="168">
        <v>1883.6095035861158</v>
      </c>
      <c r="BN36" s="168">
        <v>2.1204712684763991</v>
      </c>
      <c r="BO36" s="168">
        <v>63.944032945973731</v>
      </c>
    </row>
    <row r="37" spans="1:77" x14ac:dyDescent="0.3">
      <c r="B37" s="62"/>
      <c r="C37" s="206"/>
      <c r="D37" s="206"/>
      <c r="E37" s="207"/>
      <c r="F37" s="504"/>
      <c r="G37" s="505"/>
      <c r="H37" s="325"/>
      <c r="I37" s="54"/>
      <c r="J37" s="72"/>
      <c r="K37" s="431"/>
      <c r="L37" s="54"/>
      <c r="M37" s="141"/>
      <c r="N37" s="54"/>
      <c r="P37" s="54" t="s">
        <v>122</v>
      </c>
      <c r="Q37" s="363" t="str">
        <f>IF(T25="Based on Munition Type Selected",VLOOKUP(T24,'Munition Data'!A:D,4,FALSE),T25)</f>
        <v>TNT</v>
      </c>
      <c r="R37" s="202"/>
      <c r="S37" s="212"/>
      <c r="Z37" s="501" t="s">
        <v>586</v>
      </c>
      <c r="AA37" s="502"/>
      <c r="AB37" s="503"/>
      <c r="AC37" s="385">
        <v>-2.6850558507497357</v>
      </c>
      <c r="AD37" s="385">
        <v>1.8488337907834838</v>
      </c>
      <c r="AE37" s="385">
        <v>-0.11562860624436949</v>
      </c>
      <c r="AF37" s="385">
        <v>-0.60630543101186685</v>
      </c>
      <c r="AG37" s="385">
        <v>0.26911336300739369</v>
      </c>
      <c r="AH37" s="385">
        <v>-3.2978849999999997E-2</v>
      </c>
      <c r="AI37" s="385">
        <v>0</v>
      </c>
      <c r="AJ37" s="97">
        <f t="shared" si="4"/>
        <v>0.33306932480957274</v>
      </c>
      <c r="AK37" s="389">
        <v>0.71406000000000003</v>
      </c>
      <c r="AL37" s="389">
        <v>58.711599999999997</v>
      </c>
      <c r="AM37" s="390">
        <v>3.7648169200000005E-2</v>
      </c>
      <c r="AN37" s="390">
        <v>0.390089464</v>
      </c>
      <c r="AO37" s="427">
        <f t="shared" si="5"/>
        <v>7342.9129486168022</v>
      </c>
      <c r="AP37" s="54" t="s">
        <v>277</v>
      </c>
      <c r="AQ37" s="109"/>
      <c r="AS37" s="168">
        <f>3.5*$BA$16</f>
        <v>175</v>
      </c>
      <c r="AT37" s="168">
        <f>3.5*$BA$16*$J$24</f>
        <v>175</v>
      </c>
      <c r="AU37" s="168">
        <v>8.1227804588223602</v>
      </c>
      <c r="AV37" s="168">
        <v>354.30791872039447</v>
      </c>
      <c r="AW37" s="168">
        <v>19.971438188391925</v>
      </c>
      <c r="AX37" s="168">
        <v>814.44505445826996</v>
      </c>
      <c r="AY37" s="168">
        <v>96.594109278068402</v>
      </c>
      <c r="AZ37" s="168">
        <v>42.991615381287239</v>
      </c>
      <c r="BA37" s="168">
        <v>1595.7205562245472</v>
      </c>
      <c r="BB37" s="168">
        <v>1.3205462650196473</v>
      </c>
      <c r="BC37" s="168">
        <v>45.621442217103002</v>
      </c>
      <c r="BE37" s="168">
        <f>3.5*$BL$16</f>
        <v>175</v>
      </c>
      <c r="BF37" s="168">
        <v>8.1227804588223602</v>
      </c>
      <c r="BG37" s="168">
        <v>175</v>
      </c>
      <c r="BH37" s="168">
        <v>354.30791872039447</v>
      </c>
      <c r="BI37" s="168">
        <v>19.971438188391925</v>
      </c>
      <c r="BJ37" s="168">
        <v>814.44505445826996</v>
      </c>
      <c r="BK37" s="168">
        <v>96.594109278068402</v>
      </c>
      <c r="BL37" s="168">
        <v>42.991615381287239</v>
      </c>
      <c r="BM37" s="168">
        <v>1595.7205562245472</v>
      </c>
      <c r="BN37" s="168">
        <v>1.3205462650196473</v>
      </c>
      <c r="BO37" s="168">
        <v>45.621442217103002</v>
      </c>
    </row>
    <row r="38" spans="1:77" s="54" customFormat="1" ht="19.8" x14ac:dyDescent="0.4">
      <c r="A38" s="53"/>
      <c r="B38" s="62"/>
      <c r="C38" s="54" t="s">
        <v>238</v>
      </c>
      <c r="E38" s="211">
        <f>Q82</f>
        <v>158.02100971019939</v>
      </c>
      <c r="F38" s="504">
        <f>U48</f>
        <v>158.02100971019939</v>
      </c>
      <c r="G38" s="505"/>
      <c r="H38" s="327"/>
      <c r="I38" s="66" t="s">
        <v>462</v>
      </c>
      <c r="J38" s="209"/>
      <c r="K38" s="431"/>
      <c r="M38" s="141"/>
      <c r="P38" s="85" t="s">
        <v>160</v>
      </c>
      <c r="Q38" s="178">
        <f>IF($T$25="Other - User Defined",D15,VLOOKUP(Q37,'Explosive Data'!A:E,3,FALSE))</f>
        <v>1</v>
      </c>
      <c r="R38" s="202"/>
      <c r="S38" s="178"/>
      <c r="Z38" s="501" t="s">
        <v>587</v>
      </c>
      <c r="AA38" s="502"/>
      <c r="AB38" s="503"/>
      <c r="AC38" s="385">
        <v>-1.4682700111341966</v>
      </c>
      <c r="AD38" s="385">
        <v>2.1112833864846658</v>
      </c>
      <c r="AE38" s="385">
        <v>-1.5613016787254308</v>
      </c>
      <c r="AF38" s="385">
        <v>0.2191507364465394</v>
      </c>
      <c r="AG38" s="385">
        <v>8.5231670531842413E-2</v>
      </c>
      <c r="AH38" s="385">
        <v>-2.0034840000000002E-2</v>
      </c>
      <c r="AI38" s="385">
        <v>0</v>
      </c>
      <c r="AJ38" s="97">
        <f t="shared" si="4"/>
        <v>0.44433497880462131</v>
      </c>
      <c r="AK38" s="389">
        <v>0.67438999999999993</v>
      </c>
      <c r="AL38" s="389">
        <v>52.761099999999999</v>
      </c>
      <c r="AM38" s="390">
        <v>7.8E-2</v>
      </c>
      <c r="AN38" s="390">
        <v>7.8E-2</v>
      </c>
      <c r="AO38" s="427">
        <f t="shared" si="5"/>
        <v>9795.8978097224408</v>
      </c>
      <c r="AP38" s="54" t="s">
        <v>277</v>
      </c>
      <c r="AQ38" s="109"/>
      <c r="AR38" s="53"/>
      <c r="AS38" s="168">
        <f>4*$BA$16</f>
        <v>200</v>
      </c>
      <c r="AT38" s="168">
        <f>4*$BA$16*$J$24</f>
        <v>200</v>
      </c>
      <c r="AU38" s="168">
        <v>9.283177667225555</v>
      </c>
      <c r="AV38" s="168">
        <v>422.09238894436766</v>
      </c>
      <c r="AW38" s="168">
        <v>16.505952864223101</v>
      </c>
      <c r="AX38" s="168">
        <v>717.61872569674517</v>
      </c>
      <c r="AY38" s="168">
        <v>100.87478511151362</v>
      </c>
      <c r="AZ38" s="168">
        <v>35.103276615297396</v>
      </c>
      <c r="BA38" s="168">
        <v>1383.7910356429099</v>
      </c>
      <c r="BB38" s="168">
        <v>0.89673969680246579</v>
      </c>
      <c r="BC38" s="168">
        <v>34.074037206549889</v>
      </c>
      <c r="BD38" s="53"/>
      <c r="BE38" s="168">
        <f>4*$BL$16</f>
        <v>200</v>
      </c>
      <c r="BF38" s="168">
        <v>9.283177667225555</v>
      </c>
      <c r="BG38" s="168">
        <v>200</v>
      </c>
      <c r="BH38" s="168">
        <v>422.09238894436766</v>
      </c>
      <c r="BI38" s="168">
        <v>16.505952864223101</v>
      </c>
      <c r="BJ38" s="168">
        <v>717.61872569674517</v>
      </c>
      <c r="BK38" s="168">
        <v>100.87478511151362</v>
      </c>
      <c r="BL38" s="168">
        <v>35.103276615297396</v>
      </c>
      <c r="BM38" s="168">
        <v>1383.7910356429099</v>
      </c>
      <c r="BN38" s="168">
        <v>0.89673969680246579</v>
      </c>
      <c r="BO38" s="168">
        <v>34.074037206549889</v>
      </c>
      <c r="BP38" s="109"/>
      <c r="BQ38" s="109"/>
      <c r="BR38" s="109"/>
      <c r="BS38" s="109"/>
      <c r="BT38" s="109"/>
      <c r="BU38" s="109"/>
      <c r="BV38" s="154"/>
      <c r="BW38" s="154"/>
      <c r="BX38" s="154"/>
    </row>
    <row r="39" spans="1:77" ht="18" x14ac:dyDescent="0.4">
      <c r="B39" s="62"/>
      <c r="C39" s="54"/>
      <c r="D39" s="54"/>
      <c r="E39" s="216"/>
      <c r="F39" s="504"/>
      <c r="G39" s="505"/>
      <c r="H39" s="326"/>
      <c r="I39" s="217" t="s">
        <v>463</v>
      </c>
      <c r="J39" s="307"/>
      <c r="K39" s="434">
        <f>AM133</f>
        <v>1</v>
      </c>
      <c r="L39" s="54"/>
      <c r="M39" s="141"/>
      <c r="N39" s="54"/>
      <c r="P39" s="85" t="s">
        <v>161</v>
      </c>
      <c r="Q39" s="178">
        <f>IF($T$25="Other - User Defined",D16,VLOOKUP(Q37,'Explosive Data'!A:E,4,FALSE))</f>
        <v>1</v>
      </c>
      <c r="S39" s="178"/>
      <c r="Z39" s="358" t="s">
        <v>584</v>
      </c>
      <c r="AA39" s="359"/>
      <c r="AB39" s="360"/>
      <c r="AC39" s="386">
        <v>-2.908848172148903</v>
      </c>
      <c r="AD39" s="386">
        <v>1.3851894924097963</v>
      </c>
      <c r="AE39" s="386">
        <v>-0.33331243297949609</v>
      </c>
      <c r="AF39" s="386">
        <v>-1.5658497689005964E-2</v>
      </c>
      <c r="AG39" s="386">
        <v>2.7088449453529787E-2</v>
      </c>
      <c r="AH39" s="386">
        <v>-4.4368719999999997E-3</v>
      </c>
      <c r="AI39" s="386">
        <v>0</v>
      </c>
      <c r="AJ39" s="97">
        <f t="shared" si="4"/>
        <v>0.22047584555295102</v>
      </c>
      <c r="AK39" s="391">
        <v>1.2892749999999999</v>
      </c>
      <c r="AL39" s="391">
        <v>58.711599999999997</v>
      </c>
      <c r="AM39" s="392">
        <v>7.5999999999999998E-2</v>
      </c>
      <c r="AN39" s="392">
        <v>0.253</v>
      </c>
      <c r="AO39" s="427">
        <f t="shared" si="5"/>
        <v>4860.6545862294688</v>
      </c>
      <c r="AP39" s="54" t="s">
        <v>277</v>
      </c>
      <c r="AQ39" s="109"/>
      <c r="AS39" s="168">
        <f>4.5*$BA$16</f>
        <v>225</v>
      </c>
      <c r="AT39" s="168">
        <f>4.5*$BA$16*$J$24</f>
        <v>225</v>
      </c>
      <c r="AU39" s="168">
        <v>10.44357487562875</v>
      </c>
      <c r="AV39" s="168">
        <v>490.36064884554804</v>
      </c>
      <c r="AW39" s="168">
        <v>14.038038229904855</v>
      </c>
      <c r="AX39" s="168">
        <v>641.39146531880715</v>
      </c>
      <c r="AY39" s="168">
        <v>104.80444375537867</v>
      </c>
      <c r="AZ39" s="168">
        <v>29.594121310355753</v>
      </c>
      <c r="BA39" s="168">
        <v>1221.2911061830921</v>
      </c>
      <c r="BB39" s="168">
        <v>0.64851925935113275</v>
      </c>
      <c r="BC39" s="168">
        <v>26.320739065561956</v>
      </c>
      <c r="BE39" s="168">
        <f>4.5*$BL$16</f>
        <v>225</v>
      </c>
      <c r="BF39" s="168">
        <v>10.44357487562875</v>
      </c>
      <c r="BG39" s="168">
        <v>225</v>
      </c>
      <c r="BH39" s="168">
        <v>490.36064884554804</v>
      </c>
      <c r="BI39" s="168">
        <v>14.038038229904855</v>
      </c>
      <c r="BJ39" s="168">
        <v>641.39146531880715</v>
      </c>
      <c r="BK39" s="168">
        <v>104.80444375537867</v>
      </c>
      <c r="BL39" s="168">
        <v>29.594121310355753</v>
      </c>
      <c r="BM39" s="168">
        <v>1221.2911061830921</v>
      </c>
      <c r="BN39" s="168">
        <v>0.64851925935113275</v>
      </c>
      <c r="BO39" s="168">
        <v>26.320739065561956</v>
      </c>
    </row>
    <row r="40" spans="1:77" x14ac:dyDescent="0.3">
      <c r="B40" s="62"/>
      <c r="C40" s="54" t="s">
        <v>456</v>
      </c>
      <c r="D40" s="54"/>
      <c r="E40" s="353">
        <f>Q83</f>
        <v>49.31156135724909</v>
      </c>
      <c r="F40" s="504">
        <f>U49</f>
        <v>49.31156135724909</v>
      </c>
      <c r="G40" s="505"/>
      <c r="H40" s="329"/>
      <c r="I40" s="66" t="s">
        <v>25</v>
      </c>
      <c r="J40" s="209"/>
      <c r="K40" s="431"/>
      <c r="L40" s="54"/>
      <c r="M40" s="141"/>
      <c r="N40" s="54"/>
      <c r="P40" s="54" t="s">
        <v>155</v>
      </c>
      <c r="Q40" s="178">
        <f>IF(T26="Total NEW (kg)",1,E9)</f>
        <v>1</v>
      </c>
      <c r="Z40" s="358"/>
      <c r="AA40" s="359"/>
      <c r="AB40" s="360"/>
      <c r="AC40" s="102"/>
      <c r="AD40" s="103"/>
      <c r="AE40" s="103"/>
      <c r="AF40" s="103"/>
      <c r="AG40" s="103"/>
      <c r="AH40" s="103"/>
      <c r="AI40" s="104"/>
      <c r="AJ40" s="97"/>
      <c r="AK40" s="117"/>
      <c r="AL40" s="117"/>
      <c r="AM40" s="117"/>
      <c r="AN40" s="341"/>
      <c r="AO40" s="428"/>
      <c r="AQ40" s="109"/>
      <c r="AS40" s="168">
        <f>5*$BA$16</f>
        <v>250</v>
      </c>
      <c r="AT40" s="168">
        <f>5*$BA$16*$J$24</f>
        <v>250</v>
      </c>
      <c r="AU40" s="168">
        <v>11.603972084031945</v>
      </c>
      <c r="AV40" s="168">
        <v>558.98186467184871</v>
      </c>
      <c r="AW40" s="168">
        <v>12.195159888331336</v>
      </c>
      <c r="AX40" s="168">
        <v>579.82900070310507</v>
      </c>
      <c r="AY40" s="168">
        <v>108.44107624124896</v>
      </c>
      <c r="AZ40" s="168">
        <v>25.534264667196503</v>
      </c>
      <c r="BA40" s="168">
        <v>1092.7377345236155</v>
      </c>
      <c r="BB40" s="168">
        <v>0.49154574644078247</v>
      </c>
      <c r="BC40" s="168">
        <v>20.87987928820796</v>
      </c>
      <c r="BE40" s="168">
        <f>5*$BL$16</f>
        <v>250</v>
      </c>
      <c r="BF40" s="168">
        <v>11.603972084031945</v>
      </c>
      <c r="BG40" s="168">
        <v>250</v>
      </c>
      <c r="BH40" s="168">
        <v>558.98186467184871</v>
      </c>
      <c r="BI40" s="168">
        <v>12.195159888331336</v>
      </c>
      <c r="BJ40" s="168">
        <v>579.82900070310507</v>
      </c>
      <c r="BK40" s="168">
        <v>108.44107624124896</v>
      </c>
      <c r="BL40" s="168">
        <v>25.534264667196503</v>
      </c>
      <c r="BM40" s="168">
        <v>1092.7377345236155</v>
      </c>
      <c r="BN40" s="168">
        <v>0.49154574644078247</v>
      </c>
      <c r="BO40" s="168">
        <v>20.87987928820796</v>
      </c>
    </row>
    <row r="41" spans="1:77" ht="16.2" thickBot="1" x14ac:dyDescent="0.35">
      <c r="B41" s="62"/>
      <c r="C41" s="54" t="s">
        <v>288</v>
      </c>
      <c r="D41" s="54"/>
      <c r="E41" s="211">
        <f>Q84</f>
        <v>187.83837507723086</v>
      </c>
      <c r="F41" s="504">
        <f>U50</f>
        <v>187.83837507723086</v>
      </c>
      <c r="G41" s="505"/>
      <c r="H41" s="330"/>
      <c r="J41" s="209"/>
      <c r="K41" s="431"/>
      <c r="L41" s="54"/>
      <c r="M41" s="141"/>
      <c r="N41" s="54"/>
      <c r="P41" s="54" t="s">
        <v>474</v>
      </c>
      <c r="Q41" s="178">
        <f>VLOOKUP(T24,'Munition Data'!A:C,3,FALSE)</f>
        <v>0.45351473922902491</v>
      </c>
      <c r="Z41" s="498"/>
      <c r="AA41" s="499"/>
      <c r="AB41" s="500"/>
      <c r="AC41" s="171"/>
      <c r="AD41" s="172"/>
      <c r="AE41" s="172"/>
      <c r="AF41" s="172"/>
      <c r="AG41" s="172"/>
      <c r="AH41" s="172"/>
      <c r="AI41" s="173"/>
      <c r="AJ41" s="174"/>
      <c r="AK41" s="344"/>
      <c r="AL41" s="344"/>
      <c r="AM41" s="344"/>
      <c r="AN41" s="345"/>
      <c r="AO41" s="429"/>
      <c r="AQ41" s="109"/>
      <c r="AS41" s="168">
        <f>5.5*$BA$16</f>
        <v>275</v>
      </c>
      <c r="AT41" s="168">
        <f>5.5*$BA$16*$J$24</f>
        <v>275</v>
      </c>
      <c r="AU41" s="168">
        <v>12.76436929243514</v>
      </c>
      <c r="AV41" s="168">
        <v>627.89104945172164</v>
      </c>
      <c r="AW41" s="168">
        <v>10.767348835960469</v>
      </c>
      <c r="AX41" s="168">
        <v>529.06916674110721</v>
      </c>
      <c r="AY41" s="168">
        <v>111.81712177509731</v>
      </c>
      <c r="AZ41" s="168">
        <v>22.418461294035929</v>
      </c>
      <c r="BA41" s="168">
        <v>988.4953831737954</v>
      </c>
      <c r="BB41" s="168">
        <v>0.38609760500748158</v>
      </c>
      <c r="BC41" s="168">
        <v>16.932765534361454</v>
      </c>
      <c r="BE41" s="168">
        <f>5.5*$BL$16</f>
        <v>275</v>
      </c>
      <c r="BF41" s="168">
        <v>12.76436929243514</v>
      </c>
      <c r="BG41" s="168">
        <v>275</v>
      </c>
      <c r="BH41" s="168">
        <v>627.89104945172164</v>
      </c>
      <c r="BI41" s="168">
        <v>10.767348835960469</v>
      </c>
      <c r="BJ41" s="168">
        <v>529.06916674110721</v>
      </c>
      <c r="BK41" s="168">
        <v>111.81712177509731</v>
      </c>
      <c r="BL41" s="168">
        <v>22.418461294035929</v>
      </c>
      <c r="BM41" s="168">
        <v>988.4953831737954</v>
      </c>
      <c r="BN41" s="168">
        <v>0.38609760500748158</v>
      </c>
      <c r="BO41" s="168">
        <v>16.932765534361454</v>
      </c>
    </row>
    <row r="42" spans="1:77" ht="19.2" thickBot="1" x14ac:dyDescent="0.35">
      <c r="A42" s="54"/>
      <c r="B42" s="62"/>
      <c r="C42" s="54"/>
      <c r="D42" s="54"/>
      <c r="E42" s="211"/>
      <c r="F42" s="504"/>
      <c r="G42" s="505"/>
      <c r="H42" s="329"/>
      <c r="I42" s="66" t="s">
        <v>464</v>
      </c>
      <c r="J42" s="209"/>
      <c r="K42" s="431"/>
      <c r="L42" s="54"/>
      <c r="M42" s="141"/>
      <c r="N42" s="54"/>
      <c r="Z42" s="635" t="s">
        <v>145</v>
      </c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7"/>
      <c r="AP42" s="191"/>
      <c r="AS42" s="168">
        <f>6*$BA$16</f>
        <v>300</v>
      </c>
      <c r="AT42" s="168">
        <f>6*$BA$16*$J$24</f>
        <v>300</v>
      </c>
      <c r="AU42" s="168">
        <v>13.924766500838333</v>
      </c>
      <c r="AV42" s="168">
        <v>697.05510723458644</v>
      </c>
      <c r="AW42" s="168">
        <v>9.6281648175126122</v>
      </c>
      <c r="AX42" s="168">
        <v>486.49283667510616</v>
      </c>
      <c r="AY42" s="168">
        <v>114.95506704696668</v>
      </c>
      <c r="AZ42" s="168">
        <v>19.950534275752215</v>
      </c>
      <c r="BA42" s="168">
        <v>902.25707049353127</v>
      </c>
      <c r="BB42" s="168">
        <v>0.31173455152784268</v>
      </c>
      <c r="BC42" s="168">
        <v>13.991803951649461</v>
      </c>
      <c r="BE42" s="168">
        <f>6*$BL$16</f>
        <v>300</v>
      </c>
      <c r="BF42" s="168">
        <v>13.924766500838333</v>
      </c>
      <c r="BG42" s="168">
        <v>300</v>
      </c>
      <c r="BH42" s="168">
        <v>697.05510723458644</v>
      </c>
      <c r="BI42" s="168">
        <v>9.6281648175126122</v>
      </c>
      <c r="BJ42" s="168">
        <v>486.49283667510616</v>
      </c>
      <c r="BK42" s="168">
        <v>114.95506704696668</v>
      </c>
      <c r="BL42" s="168">
        <v>19.950534275752215</v>
      </c>
      <c r="BM42" s="168">
        <v>902.25707049353127</v>
      </c>
      <c r="BN42" s="168">
        <v>0.31173455152784268</v>
      </c>
      <c r="BO42" s="168">
        <v>13.991803951649461</v>
      </c>
    </row>
    <row r="43" spans="1:77" x14ac:dyDescent="0.3">
      <c r="B43" s="62"/>
      <c r="C43" s="54" t="s">
        <v>457</v>
      </c>
      <c r="D43" s="54"/>
      <c r="E43" s="211">
        <f>Q85</f>
        <v>117.63505483326347</v>
      </c>
      <c r="F43" s="676">
        <f>U51</f>
        <v>117.63505483326347</v>
      </c>
      <c r="G43" s="677"/>
      <c r="H43" s="329"/>
      <c r="I43" s="217" t="s">
        <v>465</v>
      </c>
      <c r="J43" s="209"/>
      <c r="K43" s="434">
        <f>AM142</f>
        <v>1</v>
      </c>
      <c r="L43" s="54"/>
      <c r="M43" s="141"/>
      <c r="N43" s="54"/>
      <c r="Z43" s="501" t="s">
        <v>72</v>
      </c>
      <c r="AA43" s="502"/>
      <c r="AB43" s="503"/>
      <c r="AC43" s="384">
        <v>-0.80186798568901529</v>
      </c>
      <c r="AD43" s="384">
        <v>0.56553708454482854</v>
      </c>
      <c r="AE43" s="384">
        <v>-0.55014558859490048</v>
      </c>
      <c r="AF43" s="384">
        <v>6.7690182020705439E-2</v>
      </c>
      <c r="AG43" s="384">
        <v>2.8834258804533684E-2</v>
      </c>
      <c r="AH43" s="384">
        <v>-5.41349E-3</v>
      </c>
      <c r="AI43" s="393">
        <v>0</v>
      </c>
      <c r="AJ43" s="97">
        <f t="shared" ref="AJ43:AJ52" si="6">EXP(AC43+AD43*LN($Y$3)+AE43*(LN($Y$3))^2+AF43*(LN($Y$3))^3+AG43*(LN($Y$3))^4+AH43*(LN($Y$3))^5+AI43*(LN($Y$3))^6)</f>
        <v>0.41841293398496898</v>
      </c>
      <c r="AK43" s="396">
        <v>1.03142</v>
      </c>
      <c r="AL43" s="396">
        <v>59.505000000000003</v>
      </c>
      <c r="AM43" s="397">
        <v>0.45359240000000001</v>
      </c>
      <c r="AN43" s="397">
        <v>0.30499999999999999</v>
      </c>
      <c r="AO43" s="427">
        <f>IF($Y$3&gt;AL43,AN43*$Y$5*2.20462,IF($Y$3&gt;AK43,$Y$5*AJ43*2.20462,AM43*$Y$5*2.20462))</f>
        <v>9224.4152252194235</v>
      </c>
      <c r="AP43" s="54" t="s">
        <v>278</v>
      </c>
      <c r="AQ43" s="109"/>
      <c r="AS43" s="168">
        <f>6.5*$BA$16</f>
        <v>325</v>
      </c>
      <c r="AT43" s="168">
        <f>6.5*$BA$16*$J$24</f>
        <v>325</v>
      </c>
      <c r="AU43" s="168">
        <v>15.085163709241527</v>
      </c>
      <c r="AV43" s="168">
        <v>766.4549929390023</v>
      </c>
      <c r="AW43" s="168">
        <v>8.697331644601368</v>
      </c>
      <c r="AX43" s="168">
        <v>450.26243576650688</v>
      </c>
      <c r="AY43" s="168">
        <v>117.87357807140268</v>
      </c>
      <c r="AZ43" s="168">
        <v>17.946079578598855</v>
      </c>
      <c r="BA43" s="168">
        <v>829.72282952142871</v>
      </c>
      <c r="BB43" s="168">
        <v>0.25716383486980032</v>
      </c>
      <c r="BC43" s="168">
        <v>11.750448949724733</v>
      </c>
      <c r="BE43" s="168">
        <f>6.5*$BL$16</f>
        <v>325</v>
      </c>
      <c r="BF43" s="168">
        <v>15.085163709241527</v>
      </c>
      <c r="BG43" s="168">
        <v>325</v>
      </c>
      <c r="BH43" s="168">
        <v>766.4549929390023</v>
      </c>
      <c r="BI43" s="168">
        <v>8.697331644601368</v>
      </c>
      <c r="BJ43" s="168">
        <v>450.26243576650688</v>
      </c>
      <c r="BK43" s="168">
        <v>117.87357807140268</v>
      </c>
      <c r="BL43" s="168">
        <v>17.946079578598855</v>
      </c>
      <c r="BM43" s="168">
        <v>829.72282952142871</v>
      </c>
      <c r="BN43" s="168">
        <v>0.25716383486980032</v>
      </c>
      <c r="BO43" s="168">
        <v>11.750448949724733</v>
      </c>
    </row>
    <row r="44" spans="1:77" x14ac:dyDescent="0.3">
      <c r="B44" s="62"/>
      <c r="C44" s="54"/>
      <c r="D44" s="54"/>
      <c r="E44" s="211"/>
      <c r="F44" s="676"/>
      <c r="G44" s="677"/>
      <c r="H44" s="329"/>
      <c r="I44" s="66" t="s">
        <v>25</v>
      </c>
      <c r="J44" s="209"/>
      <c r="K44" s="431"/>
      <c r="L44" s="54"/>
      <c r="M44" s="141"/>
      <c r="N44" s="54"/>
      <c r="Z44" s="501" t="s">
        <v>73</v>
      </c>
      <c r="AA44" s="502"/>
      <c r="AB44" s="503"/>
      <c r="AC44" s="385">
        <v>-2.3463476658056988</v>
      </c>
      <c r="AD44" s="385">
        <v>0.78714568572375276</v>
      </c>
      <c r="AE44" s="385">
        <v>0.45952075146929811</v>
      </c>
      <c r="AF44" s="385">
        <v>-0.53181702398629571</v>
      </c>
      <c r="AG44" s="385">
        <v>0.16099074333826568</v>
      </c>
      <c r="AH44" s="385">
        <v>-1.9011956491799008E-2</v>
      </c>
      <c r="AI44" s="385">
        <v>6.3492810000000002E-4</v>
      </c>
      <c r="AJ44" s="97">
        <f t="shared" si="6"/>
        <v>0.28975065809872613</v>
      </c>
      <c r="AK44" s="398">
        <v>0.3967</v>
      </c>
      <c r="AL44" s="398">
        <v>59.505000000000003</v>
      </c>
      <c r="AM44" s="399">
        <v>0.1188412088</v>
      </c>
      <c r="AN44" s="399">
        <v>0.21001328120000001</v>
      </c>
      <c r="AO44" s="427">
        <f t="shared" ref="AO44:AO51" si="7">IF($Y$3&gt;AL44,AN44*$Y$5*2.20462,IF($Y$3&gt;AK44,$Y$5*AJ44*2.20462,AM44*$Y$5*2.20462))</f>
        <v>6387.9009585761351</v>
      </c>
      <c r="AP44" s="54" t="s">
        <v>278</v>
      </c>
      <c r="AQ44" s="109"/>
      <c r="AR44" s="54"/>
      <c r="AS44" s="168">
        <f>7*$BA$16</f>
        <v>350</v>
      </c>
      <c r="AT44" s="168">
        <f>7*$BA$16*$J$24</f>
        <v>350</v>
      </c>
      <c r="AU44" s="168">
        <v>16.24556091764472</v>
      </c>
      <c r="AV44" s="168">
        <v>836.07636567351562</v>
      </c>
      <c r="AW44" s="168">
        <v>7.9216294210037335</v>
      </c>
      <c r="AX44" s="168">
        <v>419.05137017771904</v>
      </c>
      <c r="AY44" s="168">
        <v>120.58986638733519</v>
      </c>
      <c r="AZ44" s="168">
        <v>16.284534987147179</v>
      </c>
      <c r="BA44" s="168">
        <v>767.86086422418805</v>
      </c>
      <c r="BB44" s="168">
        <v>0.21577306502377444</v>
      </c>
      <c r="BC44" s="168">
        <v>10.008035045708731</v>
      </c>
      <c r="BE44" s="168">
        <f>7*$BL$16</f>
        <v>350</v>
      </c>
      <c r="BF44" s="168">
        <v>16.24556091764472</v>
      </c>
      <c r="BG44" s="168">
        <v>350</v>
      </c>
      <c r="BH44" s="168">
        <v>836.07636567351562</v>
      </c>
      <c r="BI44" s="168">
        <v>7.9216294210037335</v>
      </c>
      <c r="BJ44" s="168">
        <v>419.05137017771904</v>
      </c>
      <c r="BK44" s="168">
        <v>120.58986638733519</v>
      </c>
      <c r="BL44" s="168">
        <v>16.284534987147179</v>
      </c>
      <c r="BM44" s="168">
        <v>767.86086422418805</v>
      </c>
      <c r="BN44" s="168">
        <v>0.21577306502377444</v>
      </c>
      <c r="BO44" s="168">
        <v>10.008035045708731</v>
      </c>
    </row>
    <row r="45" spans="1:77" x14ac:dyDescent="0.3">
      <c r="B45" s="62"/>
      <c r="C45" s="54" t="s">
        <v>20</v>
      </c>
      <c r="D45" s="54"/>
      <c r="E45" s="211">
        <f>Q86</f>
        <v>79.188624587534818</v>
      </c>
      <c r="F45" s="676">
        <f>U52</f>
        <v>79.188624587534818</v>
      </c>
      <c r="G45" s="677"/>
      <c r="H45" s="329"/>
      <c r="J45" s="209"/>
      <c r="K45" s="431"/>
      <c r="L45" s="54"/>
      <c r="M45" s="141"/>
      <c r="N45" s="54"/>
      <c r="O45" s="218" t="s">
        <v>250</v>
      </c>
      <c r="R45" s="202"/>
      <c r="Z45" s="501" t="s">
        <v>39</v>
      </c>
      <c r="AA45" s="502"/>
      <c r="AB45" s="503"/>
      <c r="AC45" s="385">
        <v>-2.6008780641009706</v>
      </c>
      <c r="AD45" s="385">
        <v>0.50807194224685359</v>
      </c>
      <c r="AE45" s="385">
        <v>0.35798449859256376</v>
      </c>
      <c r="AF45" s="385">
        <v>-0.4738692586414745</v>
      </c>
      <c r="AG45" s="385">
        <v>0.19662379389726772</v>
      </c>
      <c r="AH45" s="385">
        <v>-3.6630837587296627E-2</v>
      </c>
      <c r="AI45" s="385">
        <v>2.5306899999999999E-3</v>
      </c>
      <c r="AJ45" s="97">
        <f t="shared" si="6"/>
        <v>0.15276955509949164</v>
      </c>
      <c r="AK45" s="398">
        <v>0.79339999999999999</v>
      </c>
      <c r="AL45" s="398">
        <v>59.505000000000003</v>
      </c>
      <c r="AM45" s="399">
        <v>6.7585267599999999E-2</v>
      </c>
      <c r="AN45" s="399">
        <v>0.13400000000000001</v>
      </c>
      <c r="AO45" s="427">
        <f t="shared" si="7"/>
        <v>3367.9881656344123</v>
      </c>
      <c r="AP45" s="54" t="s">
        <v>278</v>
      </c>
      <c r="AQ45" s="109"/>
      <c r="AS45" s="168">
        <f>8*$BA$16</f>
        <v>400</v>
      </c>
      <c r="AT45" s="168">
        <f>8*$BA$16*$J$24</f>
        <v>400</v>
      </c>
      <c r="AU45" s="168">
        <v>18.56635533445111</v>
      </c>
      <c r="AV45" s="168">
        <v>975.923445757433</v>
      </c>
      <c r="AW45" s="168">
        <v>6.6999670181606747</v>
      </c>
      <c r="AX45" s="168">
        <v>368.002090665293</v>
      </c>
      <c r="AY45" s="168">
        <v>125.48171863805</v>
      </c>
      <c r="AZ45" s="168">
        <v>13.686207518465634</v>
      </c>
      <c r="BA45" s="168">
        <v>667.92423975860174</v>
      </c>
      <c r="BB45" s="168">
        <v>0.15773861798789804</v>
      </c>
      <c r="BC45" s="168">
        <v>7.5194733941608449</v>
      </c>
      <c r="BE45" s="168">
        <f>8*$BL$16</f>
        <v>400</v>
      </c>
      <c r="BF45" s="168">
        <v>18.56635533445111</v>
      </c>
      <c r="BG45" s="168">
        <v>400</v>
      </c>
      <c r="BH45" s="168">
        <v>975.923445757433</v>
      </c>
      <c r="BI45" s="168">
        <v>6.6999670181606747</v>
      </c>
      <c r="BJ45" s="168">
        <v>368.002090665293</v>
      </c>
      <c r="BK45" s="168">
        <v>125.48171863805</v>
      </c>
      <c r="BL45" s="168">
        <v>13.686207518465634</v>
      </c>
      <c r="BM45" s="168">
        <v>667.92423975860174</v>
      </c>
      <c r="BN45" s="168">
        <v>0.15773861798789804</v>
      </c>
      <c r="BO45" s="168">
        <v>7.5194733941608449</v>
      </c>
    </row>
    <row r="46" spans="1:77" ht="18.600000000000001" x14ac:dyDescent="0.3">
      <c r="B46" s="62"/>
      <c r="C46" s="54" t="s">
        <v>240</v>
      </c>
      <c r="D46" s="54"/>
      <c r="E46" s="211"/>
      <c r="F46" s="504"/>
      <c r="G46" s="505"/>
      <c r="H46" s="329"/>
      <c r="I46" s="84" t="s">
        <v>466</v>
      </c>
      <c r="J46" s="209"/>
      <c r="K46" s="431"/>
      <c r="L46" s="54"/>
      <c r="M46" s="141"/>
      <c r="N46" s="54"/>
      <c r="O46" s="54" t="s">
        <v>162</v>
      </c>
      <c r="R46" s="202"/>
      <c r="S46" s="193" t="s">
        <v>296</v>
      </c>
      <c r="T46" s="193"/>
      <c r="V46" s="85"/>
      <c r="Z46" s="501" t="s">
        <v>42</v>
      </c>
      <c r="AA46" s="502"/>
      <c r="AB46" s="503"/>
      <c r="AC46" s="394">
        <v>3.0908615618249042</v>
      </c>
      <c r="AD46" s="394">
        <v>-3.1540182656929585</v>
      </c>
      <c r="AE46" s="394">
        <v>0.90230334352083408</v>
      </c>
      <c r="AF46" s="394">
        <v>-9.8566000000000001E-2</v>
      </c>
      <c r="AG46" s="394">
        <v>0</v>
      </c>
      <c r="AH46" s="394">
        <v>0</v>
      </c>
      <c r="AI46" s="394">
        <v>0</v>
      </c>
      <c r="AJ46" s="97">
        <f t="shared" si="6"/>
        <v>1.0190979538050786</v>
      </c>
      <c r="AK46" s="398">
        <v>0.79339999999999999</v>
      </c>
      <c r="AL46" s="398">
        <v>39.67</v>
      </c>
      <c r="AM46" s="399">
        <v>48.398309080000004</v>
      </c>
      <c r="AN46" s="399">
        <v>0.29483506000000004</v>
      </c>
      <c r="AO46" s="427">
        <f t="shared" si="7"/>
        <v>22467.237309177523</v>
      </c>
      <c r="AP46" s="54" t="s">
        <v>278</v>
      </c>
      <c r="AQ46" s="109"/>
      <c r="AS46" s="168">
        <f>9*$BA$16</f>
        <v>450</v>
      </c>
      <c r="AT46" s="168">
        <f>9*$BA$16*$J$24</f>
        <v>450</v>
      </c>
      <c r="AU46" s="168">
        <v>20.8871497512575</v>
      </c>
      <c r="AV46" s="168">
        <v>1116.4468349446968</v>
      </c>
      <c r="AW46" s="168">
        <v>5.7782633374037706</v>
      </c>
      <c r="AX46" s="168">
        <v>327.98322944472625</v>
      </c>
      <c r="AY46" s="168">
        <v>129.75819406347063</v>
      </c>
      <c r="AZ46" s="168">
        <v>11.743546160378214</v>
      </c>
      <c r="BA46" s="168">
        <v>590.67652320845878</v>
      </c>
      <c r="BB46" s="168">
        <v>0.11941000102644603</v>
      </c>
      <c r="BC46" s="168">
        <v>5.8615067074430867</v>
      </c>
      <c r="BE46" s="168">
        <f>9*$BL$16</f>
        <v>450</v>
      </c>
      <c r="BF46" s="168">
        <v>20.8871497512575</v>
      </c>
      <c r="BG46" s="168">
        <v>450</v>
      </c>
      <c r="BH46" s="168">
        <v>1116.4468349446968</v>
      </c>
      <c r="BI46" s="168">
        <v>5.7782633374037706</v>
      </c>
      <c r="BJ46" s="168">
        <v>327.98322944472625</v>
      </c>
      <c r="BK46" s="168">
        <v>129.75819406347063</v>
      </c>
      <c r="BL46" s="168">
        <v>11.743546160378214</v>
      </c>
      <c r="BM46" s="168">
        <v>590.67652320845878</v>
      </c>
      <c r="BN46" s="168">
        <v>0.11941000102644603</v>
      </c>
      <c r="BO46" s="168">
        <v>5.8615067074430867</v>
      </c>
    </row>
    <row r="47" spans="1:77" x14ac:dyDescent="0.3">
      <c r="B47" s="62"/>
      <c r="C47" s="54"/>
      <c r="D47" s="54"/>
      <c r="E47" s="211"/>
      <c r="F47" s="504"/>
      <c r="G47" s="505"/>
      <c r="H47" s="329"/>
      <c r="I47" s="331" t="s">
        <v>467</v>
      </c>
      <c r="J47" s="209"/>
      <c r="K47" s="382">
        <f>AM151</f>
        <v>1</v>
      </c>
      <c r="L47" s="54"/>
      <c r="M47" s="141"/>
      <c r="N47" s="54"/>
      <c r="O47" s="155"/>
      <c r="P47" s="54" t="s">
        <v>472</v>
      </c>
      <c r="Q47" s="199">
        <f>Q40*IF(AND(T26="Number of Munitions",Q24&lt;&gt;1),Q41,Q31)</f>
        <v>10000</v>
      </c>
      <c r="R47" s="219" t="s">
        <v>246</v>
      </c>
      <c r="T47" s="221" t="s">
        <v>245</v>
      </c>
      <c r="V47" s="85"/>
      <c r="Z47" s="501" t="s">
        <v>45</v>
      </c>
      <c r="AA47" s="502"/>
      <c r="AB47" s="503"/>
      <c r="AC47" s="394">
        <v>-0.74828876080857898</v>
      </c>
      <c r="AD47" s="394">
        <v>0.46654031277110491</v>
      </c>
      <c r="AE47" s="394">
        <v>-0.18306861075214956</v>
      </c>
      <c r="AF47" s="394">
        <v>3.1252083515139258E-2</v>
      </c>
      <c r="AG47" s="394">
        <v>-2.3213000000000001E-3</v>
      </c>
      <c r="AH47" s="394">
        <v>0</v>
      </c>
      <c r="AI47" s="394">
        <v>0</v>
      </c>
      <c r="AJ47" s="97">
        <f t="shared" si="6"/>
        <v>0.69534323716431923</v>
      </c>
      <c r="AK47" s="398">
        <v>0.79339999999999999</v>
      </c>
      <c r="AL47" s="398">
        <v>39.67</v>
      </c>
      <c r="AM47" s="399">
        <v>0.41952761076000006</v>
      </c>
      <c r="AN47" s="399">
        <v>0.68401733919999996</v>
      </c>
      <c r="AO47" s="427">
        <f t="shared" si="7"/>
        <v>15329.676075172014</v>
      </c>
      <c r="AP47" s="54" t="s">
        <v>278</v>
      </c>
      <c r="AQ47" s="210"/>
      <c r="AS47" s="168">
        <f>10*$BA$16</f>
        <v>500</v>
      </c>
      <c r="AT47" s="168">
        <f>10*$BA$16*$J$24</f>
        <v>500</v>
      </c>
      <c r="AU47" s="168">
        <v>23.207944168063889</v>
      </c>
      <c r="AV47" s="168">
        <v>1257.4419009699407</v>
      </c>
      <c r="AW47" s="168">
        <v>5.0554240816340359</v>
      </c>
      <c r="AX47" s="168">
        <v>295.74242668088027</v>
      </c>
      <c r="AY47" s="168">
        <v>133.53835092807432</v>
      </c>
      <c r="AZ47" s="168">
        <v>10.23269315941257</v>
      </c>
      <c r="BA47" s="168">
        <v>529.1632571780674</v>
      </c>
      <c r="BB47" s="168">
        <v>9.2450793165266207E-2</v>
      </c>
      <c r="BC47" s="168">
        <v>4.6926568855723056</v>
      </c>
      <c r="BE47" s="168">
        <f>10*$BL$16</f>
        <v>500</v>
      </c>
      <c r="BF47" s="168">
        <v>23.207944168063889</v>
      </c>
      <c r="BG47" s="168">
        <v>500</v>
      </c>
      <c r="BH47" s="168">
        <v>1257.4419009699407</v>
      </c>
      <c r="BI47" s="168">
        <v>5.0554240816340359</v>
      </c>
      <c r="BJ47" s="168">
        <v>295.74242668088027</v>
      </c>
      <c r="BK47" s="168">
        <v>133.53835092807432</v>
      </c>
      <c r="BL47" s="168">
        <v>10.23269315941257</v>
      </c>
      <c r="BM47" s="168">
        <v>529.1632571780674</v>
      </c>
      <c r="BN47" s="168">
        <v>9.2450793165266207E-2</v>
      </c>
      <c r="BO47" s="168">
        <v>4.6926568855723056</v>
      </c>
    </row>
    <row r="48" spans="1:77" ht="18" x14ac:dyDescent="0.4">
      <c r="B48" s="62"/>
      <c r="C48" s="54" t="s">
        <v>21</v>
      </c>
      <c r="D48" s="54"/>
      <c r="E48" s="211">
        <f>Q87</f>
        <v>1366.6656291965537</v>
      </c>
      <c r="F48" s="504">
        <f>U53</f>
        <v>1366.6656291965537</v>
      </c>
      <c r="G48" s="505"/>
      <c r="H48" s="329"/>
      <c r="I48" s="84" t="s">
        <v>26</v>
      </c>
      <c r="J48" s="209"/>
      <c r="K48" s="431"/>
      <c r="L48" s="54"/>
      <c r="M48" s="141"/>
      <c r="N48" s="54"/>
      <c r="P48" s="54" t="s">
        <v>233</v>
      </c>
      <c r="Q48" s="178">
        <f>IF(T26="Number of Munitions",E9,Q47/Q41)</f>
        <v>22050</v>
      </c>
      <c r="R48" s="220" t="s">
        <v>247</v>
      </c>
      <c r="T48" s="54" t="s">
        <v>178</v>
      </c>
      <c r="U48" s="223">
        <f>IF(Q82="Out of Range","Out of Range",Q82*Q72)</f>
        <v>158.02100971019939</v>
      </c>
      <c r="V48" s="224" t="s">
        <v>306</v>
      </c>
      <c r="W48" s="155"/>
      <c r="Z48" s="501" t="s">
        <v>0</v>
      </c>
      <c r="AA48" s="502"/>
      <c r="AB48" s="503"/>
      <c r="AC48" s="394">
        <v>-0.85959346113917134</v>
      </c>
      <c r="AD48" s="394">
        <v>0.36339840409859947</v>
      </c>
      <c r="AE48" s="394">
        <v>-0.27964022593682825</v>
      </c>
      <c r="AF48" s="394">
        <v>2.2218999999999999E-2</v>
      </c>
      <c r="AG48" s="394">
        <v>0</v>
      </c>
      <c r="AH48" s="394">
        <v>0</v>
      </c>
      <c r="AI48" s="394">
        <v>0</v>
      </c>
      <c r="AJ48" s="97">
        <f t="shared" si="6"/>
        <v>0.41464622980395993</v>
      </c>
      <c r="AK48" s="398">
        <v>0.3967</v>
      </c>
      <c r="AL48" s="398">
        <v>39.67</v>
      </c>
      <c r="AM48" s="399">
        <v>0.23491550396000002</v>
      </c>
      <c r="AN48" s="399">
        <v>0.1102229532</v>
      </c>
      <c r="AO48" s="427">
        <f t="shared" si="7"/>
        <v>9141.3737115040603</v>
      </c>
      <c r="AP48" s="54" t="s">
        <v>278</v>
      </c>
      <c r="AQ48" s="210"/>
      <c r="AS48" s="168">
        <f>12*$BA$16</f>
        <v>600</v>
      </c>
      <c r="AT48" s="168">
        <f>12*$BA$16*$J$24</f>
        <v>600</v>
      </c>
      <c r="AU48" s="168">
        <v>27.849533001676665</v>
      </c>
      <c r="AV48" s="168">
        <v>1539.7881306962886</v>
      </c>
      <c r="AW48" s="168">
        <v>3.951520083091316</v>
      </c>
      <c r="AX48" s="168">
        <v>246.93522328875457</v>
      </c>
      <c r="AY48" s="168">
        <v>140.02953303890885</v>
      </c>
      <c r="AZ48" s="168">
        <v>8.0267169808459133</v>
      </c>
      <c r="BA48" s="168">
        <v>437.33287199724913</v>
      </c>
      <c r="BB48" s="168">
        <v>5.754848338251365E-2</v>
      </c>
      <c r="BC48" s="168">
        <v>3.1548434602198658</v>
      </c>
      <c r="BE48" s="168">
        <f>12*$BL$16</f>
        <v>600</v>
      </c>
      <c r="BF48" s="168">
        <v>27.849533001676665</v>
      </c>
      <c r="BG48" s="168">
        <v>600</v>
      </c>
      <c r="BH48" s="168">
        <v>1539.7881306962886</v>
      </c>
      <c r="BI48" s="168">
        <v>3.951520083091316</v>
      </c>
      <c r="BJ48" s="168">
        <v>246.93522328875457</v>
      </c>
      <c r="BK48" s="168">
        <v>140.02953303890885</v>
      </c>
      <c r="BL48" s="168">
        <v>8.0267169808459133</v>
      </c>
      <c r="BM48" s="168">
        <v>437.33287199724913</v>
      </c>
      <c r="BN48" s="168">
        <v>5.754848338251365E-2</v>
      </c>
      <c r="BO48" s="168">
        <v>3.1548434602198658</v>
      </c>
    </row>
    <row r="49" spans="2:67" ht="19.8" x14ac:dyDescent="0.4">
      <c r="B49" s="62"/>
      <c r="C49" s="54" t="s">
        <v>458</v>
      </c>
      <c r="D49" s="54"/>
      <c r="E49" s="211"/>
      <c r="F49" s="504"/>
      <c r="G49" s="505"/>
      <c r="H49" s="329"/>
      <c r="J49" s="209"/>
      <c r="K49" s="431"/>
      <c r="L49" s="54"/>
      <c r="M49" s="141"/>
      <c r="N49" s="54"/>
      <c r="P49" s="54" t="s">
        <v>475</v>
      </c>
      <c r="Q49" s="109">
        <f>Q33/Q47^(1/3)</f>
        <v>4.6415888336127775</v>
      </c>
      <c r="R49" s="222" t="s">
        <v>251</v>
      </c>
      <c r="T49" s="54" t="s">
        <v>507</v>
      </c>
      <c r="U49" s="210">
        <f>IF(Q83="Out of Range","Out of Range",Q83*Q70)</f>
        <v>49.31156135724909</v>
      </c>
      <c r="V49" s="225" t="s">
        <v>307</v>
      </c>
      <c r="W49" s="155"/>
      <c r="X49" s="155"/>
      <c r="Z49" s="501" t="s">
        <v>585</v>
      </c>
      <c r="AA49" s="502"/>
      <c r="AB49" s="503"/>
      <c r="AC49" s="394">
        <v>-2.0743174353770093</v>
      </c>
      <c r="AD49" s="394">
        <v>1.8696667441633872</v>
      </c>
      <c r="AE49" s="394">
        <v>-1.6161156251327127</v>
      </c>
      <c r="AF49" s="394">
        <v>0.53294345156938394</v>
      </c>
      <c r="AG49" s="394">
        <v>-5.8458000000000003E-2</v>
      </c>
      <c r="AH49" s="394">
        <v>0</v>
      </c>
      <c r="AI49" s="394">
        <v>0</v>
      </c>
      <c r="AJ49" s="97">
        <f t="shared" si="6"/>
        <v>0.24431061538145665</v>
      </c>
      <c r="AK49" s="398">
        <v>0.59504999999999997</v>
      </c>
      <c r="AL49" s="398">
        <v>39.67</v>
      </c>
      <c r="AM49" s="399">
        <v>2.81227288E-2</v>
      </c>
      <c r="AN49" s="399">
        <v>0.28893835880000002</v>
      </c>
      <c r="AO49" s="427">
        <f t="shared" si="7"/>
        <v>5386.1206888226689</v>
      </c>
      <c r="AP49" s="54" t="s">
        <v>278</v>
      </c>
      <c r="AQ49" s="210"/>
      <c r="AS49" s="168">
        <f>14*$BA$16</f>
        <v>700</v>
      </c>
      <c r="AT49" s="168">
        <f>14*$BA$16*$J$24</f>
        <v>700</v>
      </c>
      <c r="AU49" s="168">
        <v>32.491121835289441</v>
      </c>
      <c r="AV49" s="168">
        <v>1820.5358329984417</v>
      </c>
      <c r="AW49" s="168">
        <v>3.1812429646261648</v>
      </c>
      <c r="AX49" s="168">
        <v>211.67197936075476</v>
      </c>
      <c r="AY49" s="168">
        <v>145.67333834621382</v>
      </c>
      <c r="AZ49" s="168">
        <v>6.4843393678458421</v>
      </c>
      <c r="BA49" s="168">
        <v>372.03463307616499</v>
      </c>
      <c r="BB49" s="168">
        <v>3.6622763677419304E-2</v>
      </c>
      <c r="BC49" s="168">
        <v>2.1688900587791538</v>
      </c>
      <c r="BE49" s="168">
        <f>14*$BL$16</f>
        <v>700</v>
      </c>
      <c r="BF49" s="168">
        <v>32.491121835289441</v>
      </c>
      <c r="BG49" s="168">
        <v>700</v>
      </c>
      <c r="BH49" s="168">
        <v>1820.5358329984417</v>
      </c>
      <c r="BI49" s="168">
        <v>3.1812429646261648</v>
      </c>
      <c r="BJ49" s="168">
        <v>211.67197936075476</v>
      </c>
      <c r="BK49" s="168">
        <v>145.67333834621382</v>
      </c>
      <c r="BL49" s="168">
        <v>6.4843393678458421</v>
      </c>
      <c r="BM49" s="168">
        <v>372.03463307616499</v>
      </c>
      <c r="BN49" s="168">
        <v>3.6622763677419304E-2</v>
      </c>
      <c r="BO49" s="168">
        <v>2.1688900587791538</v>
      </c>
    </row>
    <row r="50" spans="2:67" ht="19.8" x14ac:dyDescent="0.4">
      <c r="B50" s="62"/>
      <c r="C50" s="54"/>
      <c r="D50" s="54"/>
      <c r="E50" s="211"/>
      <c r="F50" s="504"/>
      <c r="G50" s="505"/>
      <c r="H50" s="329"/>
      <c r="I50" s="84" t="s">
        <v>468</v>
      </c>
      <c r="J50" s="209"/>
      <c r="K50" s="431"/>
      <c r="L50" s="54"/>
      <c r="M50" s="141"/>
      <c r="N50" s="54"/>
      <c r="R50" s="220"/>
      <c r="T50" s="54" t="s">
        <v>180</v>
      </c>
      <c r="U50" s="210">
        <f>IF(U49="Out of Range","Out of Range",20*LOG10(U49*1000)+93.9794)</f>
        <v>187.83837507723086</v>
      </c>
      <c r="V50" s="226" t="s">
        <v>299</v>
      </c>
      <c r="X50" s="155"/>
      <c r="Z50" s="501" t="s">
        <v>586</v>
      </c>
      <c r="AA50" s="502"/>
      <c r="AB50" s="503"/>
      <c r="AC50" s="394">
        <v>-1.7331071049360531</v>
      </c>
      <c r="AD50" s="394">
        <v>0.75165621627360224</v>
      </c>
      <c r="AE50" s="394">
        <v>-0.25155657242645779</v>
      </c>
      <c r="AF50" s="394">
        <v>-7.0959606409884662E-2</v>
      </c>
      <c r="AG50" s="394">
        <v>4.1946558748684193E-2</v>
      </c>
      <c r="AH50" s="394">
        <v>-4.3314859999999998E-3</v>
      </c>
      <c r="AI50" s="394">
        <v>0</v>
      </c>
      <c r="AJ50" s="97">
        <f t="shared" si="6"/>
        <v>0.2914980358789</v>
      </c>
      <c r="AK50" s="398">
        <v>0.93224499999999999</v>
      </c>
      <c r="AL50" s="398">
        <v>58.711599999999997</v>
      </c>
      <c r="AM50" s="399">
        <v>0.1669220032</v>
      </c>
      <c r="AN50" s="399">
        <v>0.38963587160000002</v>
      </c>
      <c r="AO50" s="427">
        <f t="shared" si="7"/>
        <v>6426.4239985934046</v>
      </c>
      <c r="AP50" s="54" t="s">
        <v>278</v>
      </c>
      <c r="AQ50" s="210"/>
      <c r="AS50" s="168">
        <f>16*$BA$16</f>
        <v>800</v>
      </c>
      <c r="AT50" s="168">
        <f>16*$BA$16*$J$24</f>
        <v>800</v>
      </c>
      <c r="AU50" s="168">
        <v>37.13271066890222</v>
      </c>
      <c r="AV50" s="168">
        <v>2097.0053154962038</v>
      </c>
      <c r="AW50" s="168">
        <v>2.6364853752374544</v>
      </c>
      <c r="AX50" s="168">
        <v>183.85011585670702</v>
      </c>
      <c r="AY50" s="168">
        <v>151.00990751155172</v>
      </c>
      <c r="AZ50" s="168">
        <v>5.338009383069779</v>
      </c>
      <c r="BA50" s="168">
        <v>323.20767976513724</v>
      </c>
      <c r="BB50" s="168">
        <v>2.3398283161269025E-2</v>
      </c>
      <c r="BC50" s="168">
        <v>1.4702318862298493</v>
      </c>
      <c r="BE50" s="168">
        <f>16*$BL$16</f>
        <v>800</v>
      </c>
      <c r="BF50" s="168">
        <v>37.13271066890222</v>
      </c>
      <c r="BG50" s="168">
        <v>800</v>
      </c>
      <c r="BH50" s="168">
        <v>2097.0053154962038</v>
      </c>
      <c r="BI50" s="168">
        <v>2.6364853752374544</v>
      </c>
      <c r="BJ50" s="168">
        <v>183.85011585670702</v>
      </c>
      <c r="BK50" s="168">
        <v>151.00990751155172</v>
      </c>
      <c r="BL50" s="168">
        <v>5.338009383069779</v>
      </c>
      <c r="BM50" s="168">
        <v>323.20767976513724</v>
      </c>
      <c r="BN50" s="168">
        <v>2.3398283161269025E-2</v>
      </c>
      <c r="BO50" s="168">
        <v>1.4702318862298493</v>
      </c>
    </row>
    <row r="51" spans="2:67" ht="19.5" customHeight="1" x14ac:dyDescent="0.4">
      <c r="B51" s="62"/>
      <c r="C51" s="54" t="s">
        <v>22</v>
      </c>
      <c r="D51" s="54"/>
      <c r="E51" s="211">
        <f>Q88</f>
        <v>2939.3873235593283</v>
      </c>
      <c r="F51" s="504">
        <f>U54</f>
        <v>2939.3873235593283</v>
      </c>
      <c r="G51" s="505"/>
      <c r="H51" s="329"/>
      <c r="I51" s="331" t="s">
        <v>469</v>
      </c>
      <c r="J51" s="209"/>
      <c r="K51" s="382">
        <f>AM160</f>
        <v>1</v>
      </c>
      <c r="L51" s="54"/>
      <c r="M51" s="141"/>
      <c r="N51" s="54"/>
      <c r="O51" s="54" t="s">
        <v>164</v>
      </c>
      <c r="R51" s="220"/>
      <c r="T51" s="85" t="s">
        <v>508</v>
      </c>
      <c r="U51" s="210">
        <f>IF(Q85="Out of Range","Out of Range",Q85*Q70)</f>
        <v>117.63505483326347</v>
      </c>
      <c r="V51" s="225" t="s">
        <v>308</v>
      </c>
      <c r="Z51" s="501" t="s">
        <v>587</v>
      </c>
      <c r="AA51" s="502"/>
      <c r="AB51" s="503"/>
      <c r="AC51" s="394">
        <v>-1.2663727187008995</v>
      </c>
      <c r="AD51" s="394">
        <v>0.48214700404648025</v>
      </c>
      <c r="AE51" s="394">
        <v>-0.60742116459711648</v>
      </c>
      <c r="AF51" s="394">
        <v>0.21051635834041504</v>
      </c>
      <c r="AG51" s="394">
        <v>-7.5915023645423407E-3</v>
      </c>
      <c r="AH51" s="394">
        <v>-3.8774880000000001E-3</v>
      </c>
      <c r="AI51" s="394">
        <v>0</v>
      </c>
      <c r="AJ51" s="97">
        <f t="shared" si="6"/>
        <v>0.28046730664736147</v>
      </c>
      <c r="AK51" s="398">
        <v>0.3967</v>
      </c>
      <c r="AL51" s="398">
        <v>58.711599999999997</v>
      </c>
      <c r="AM51" s="399">
        <v>9.0718480000000004E-2</v>
      </c>
      <c r="AN51" s="399">
        <v>0.20411658000000002</v>
      </c>
      <c r="AO51" s="427">
        <f t="shared" si="7"/>
        <v>6183.2383358090601</v>
      </c>
      <c r="AP51" s="54" t="s">
        <v>278</v>
      </c>
      <c r="AQ51" s="210"/>
      <c r="AS51" s="168">
        <f>18*$BA$16</f>
        <v>900</v>
      </c>
      <c r="AT51" s="168">
        <f>18*$BA$16*$J$24</f>
        <v>900</v>
      </c>
      <c r="AU51" s="168">
        <v>41.774299502514999</v>
      </c>
      <c r="AV51" s="168">
        <v>2420.0482678952185</v>
      </c>
      <c r="AW51" s="168">
        <v>2.2339540120975476</v>
      </c>
      <c r="AX51" s="168">
        <v>162.23327263835782</v>
      </c>
      <c r="AY51" s="168">
        <v>155.96921859433797</v>
      </c>
      <c r="AZ51" s="168">
        <v>4.4679080241950953</v>
      </c>
      <c r="BA51" s="168">
        <v>285.31331739272838</v>
      </c>
      <c r="BB51" s="168">
        <v>1.4874803565520631E-2</v>
      </c>
      <c r="BC51" s="168">
        <v>0.9580943514322342</v>
      </c>
      <c r="BE51" s="168">
        <f>18*$BL$16</f>
        <v>900</v>
      </c>
      <c r="BF51" s="168">
        <v>41.774299502514999</v>
      </c>
      <c r="BG51" s="168">
        <v>900</v>
      </c>
      <c r="BH51" s="168">
        <v>2420.0482678952185</v>
      </c>
      <c r="BI51" s="168">
        <v>2.2339540120975476</v>
      </c>
      <c r="BJ51" s="168">
        <v>162.23327263835782</v>
      </c>
      <c r="BK51" s="168">
        <v>155.96921859433797</v>
      </c>
      <c r="BL51" s="168">
        <v>4.4679080241950953</v>
      </c>
      <c r="BM51" s="168">
        <v>285.31331739272838</v>
      </c>
      <c r="BN51" s="168">
        <v>1.4874803565520631E-2</v>
      </c>
      <c r="BO51" s="168">
        <v>0.9580943514322342</v>
      </c>
    </row>
    <row r="52" spans="2:67" ht="19.2" thickBot="1" x14ac:dyDescent="0.45">
      <c r="B52" s="62"/>
      <c r="C52" s="54" t="s">
        <v>458</v>
      </c>
      <c r="D52" s="54"/>
      <c r="E52" s="211"/>
      <c r="F52" s="504"/>
      <c r="G52" s="505"/>
      <c r="H52" s="329"/>
      <c r="I52" s="84" t="s">
        <v>26</v>
      </c>
      <c r="J52" s="209"/>
      <c r="K52" s="431"/>
      <c r="L52" s="54"/>
      <c r="M52" s="141"/>
      <c r="N52" s="54"/>
      <c r="O52" s="196"/>
      <c r="P52" s="54" t="s">
        <v>476</v>
      </c>
      <c r="Q52" s="199">
        <f>IF($Q$23=1,$Q$47*Q38,$Q$47)</f>
        <v>10000</v>
      </c>
      <c r="R52" s="219" t="s">
        <v>252</v>
      </c>
      <c r="T52" s="54" t="s">
        <v>182</v>
      </c>
      <c r="U52" s="210">
        <f>IF(Q86="Out of Range","Out of Range",Q86*Q72)</f>
        <v>79.188624587534818</v>
      </c>
      <c r="V52" s="225" t="s">
        <v>309</v>
      </c>
      <c r="Z52" s="358" t="s">
        <v>584</v>
      </c>
      <c r="AA52" s="359"/>
      <c r="AB52" s="360"/>
      <c r="AC52" s="395">
        <v>-2.244829931674694</v>
      </c>
      <c r="AD52" s="395">
        <v>0.59211749649930923</v>
      </c>
      <c r="AE52" s="395">
        <v>-0.31118395823374534</v>
      </c>
      <c r="AF52" s="395">
        <v>6.6273288662805602E-2</v>
      </c>
      <c r="AG52" s="395">
        <v>9.7957784958067496E-3</v>
      </c>
      <c r="AH52" s="395">
        <v>-2.749835E-3</v>
      </c>
      <c r="AI52" s="395">
        <v>0</v>
      </c>
      <c r="AJ52" s="97">
        <f t="shared" si="6"/>
        <v>0.1655484003775114</v>
      </c>
      <c r="AK52" s="400">
        <v>0.51571</v>
      </c>
      <c r="AL52" s="400">
        <v>69.422499999999999</v>
      </c>
      <c r="AM52" s="401">
        <v>6.1234974000000005E-2</v>
      </c>
      <c r="AN52" s="401">
        <v>0.41276908400000001</v>
      </c>
      <c r="AO52" s="427">
        <f>IF($Y$3&gt;AL52,AN52*$Y$5*2.20462,IF($Y$3&gt;AK52,$Y$5*AJ52*2.20462,AM52*$Y$5*2.20462))</f>
        <v>3649.7131444026913</v>
      </c>
      <c r="AP52" s="54" t="s">
        <v>278</v>
      </c>
      <c r="AQ52" s="109"/>
      <c r="AS52" s="168">
        <f>20*$BA$16</f>
        <v>1000</v>
      </c>
      <c r="AT52" s="168">
        <f>20*$BA$16*$J$24</f>
        <v>1000</v>
      </c>
      <c r="AU52" s="168">
        <v>46.415888336127779</v>
      </c>
      <c r="AV52" s="168">
        <v>2702.5188179945508</v>
      </c>
      <c r="AW52" s="168">
        <v>1.9262459664471965</v>
      </c>
      <c r="AX52" s="168">
        <v>145.05926548849942</v>
      </c>
      <c r="AY52" s="168">
        <v>159.96054667338063</v>
      </c>
      <c r="AZ52" s="168">
        <v>3.852491932894393</v>
      </c>
      <c r="BA52" s="168">
        <v>255.04918253111936</v>
      </c>
      <c r="BB52" s="168">
        <v>9.3682246831876086E-3</v>
      </c>
      <c r="BC52" s="168">
        <v>0.58976375212518861</v>
      </c>
      <c r="BE52" s="168">
        <f>20*$BL$16</f>
        <v>1000</v>
      </c>
      <c r="BF52" s="168">
        <v>46.415888336127779</v>
      </c>
      <c r="BG52" s="168">
        <v>1000</v>
      </c>
      <c r="BH52" s="168">
        <v>2702.5188179945508</v>
      </c>
      <c r="BI52" s="168">
        <v>1.9262459664471965</v>
      </c>
      <c r="BJ52" s="168">
        <v>145.05926548849942</v>
      </c>
      <c r="BK52" s="168">
        <v>159.96054667338063</v>
      </c>
      <c r="BL52" s="168">
        <v>3.852491932894393</v>
      </c>
      <c r="BM52" s="168">
        <v>255.04918253111936</v>
      </c>
      <c r="BN52" s="168">
        <v>9.3682246831876086E-3</v>
      </c>
      <c r="BO52" s="168">
        <v>0.58976375212518861</v>
      </c>
    </row>
    <row r="53" spans="2:67" ht="18" x14ac:dyDescent="0.4">
      <c r="B53" s="62"/>
      <c r="C53" s="54"/>
      <c r="D53" s="54"/>
      <c r="E53" s="211"/>
      <c r="F53" s="504"/>
      <c r="G53" s="505"/>
      <c r="H53" s="329"/>
      <c r="I53" s="84"/>
      <c r="J53" s="209"/>
      <c r="K53" s="431"/>
      <c r="L53" s="54"/>
      <c r="M53" s="141"/>
      <c r="N53" s="54"/>
      <c r="P53" s="54" t="s">
        <v>477</v>
      </c>
      <c r="Q53" s="199">
        <f>IF($Q$23=1,$Q$47*Q39,$Q$47)</f>
        <v>10000</v>
      </c>
      <c r="R53" s="219" t="s">
        <v>253</v>
      </c>
      <c r="T53" s="54" t="s">
        <v>509</v>
      </c>
      <c r="U53" s="210">
        <f>IF(Q87="Out of Range","Out of Range",Q87*Q73)</f>
        <v>1366.6656291965537</v>
      </c>
      <c r="V53" s="225" t="s">
        <v>310</v>
      </c>
      <c r="Z53" s="358"/>
      <c r="AA53" s="359"/>
      <c r="AB53" s="360"/>
      <c r="AC53" s="102"/>
      <c r="AD53" s="103"/>
      <c r="AE53" s="103"/>
      <c r="AF53" s="103"/>
      <c r="AG53" s="103"/>
      <c r="AH53" s="103"/>
      <c r="AI53" s="104"/>
      <c r="AJ53" s="97"/>
      <c r="AK53" s="117"/>
      <c r="AL53" s="117"/>
      <c r="AM53" s="117"/>
      <c r="AN53" s="341"/>
      <c r="AO53" s="428"/>
      <c r="AQ53" s="109"/>
      <c r="AS53" s="168">
        <f>25*$BA$16</f>
        <v>1250</v>
      </c>
      <c r="AT53" s="168">
        <f>25*$BA$16*$J$24</f>
        <v>1250</v>
      </c>
      <c r="AU53" s="168">
        <v>58.019860420159723</v>
      </c>
      <c r="AV53" s="168">
        <v>3414.3735884511957</v>
      </c>
      <c r="AW53" s="168">
        <v>1.4073370397208909</v>
      </c>
      <c r="AX53" s="168">
        <v>114.45296298025336</v>
      </c>
      <c r="AY53" s="168">
        <v>168.39713233130158</v>
      </c>
      <c r="AZ53" s="168">
        <v>2.8146740794417817</v>
      </c>
      <c r="BA53" s="168">
        <v>200.69883907487795</v>
      </c>
      <c r="BB53" s="168">
        <v>2.8027443563821055E-3</v>
      </c>
      <c r="BC53" s="168">
        <v>0.12745951097880356</v>
      </c>
      <c r="BE53" s="168">
        <f>25*$BL$16</f>
        <v>1250</v>
      </c>
      <c r="BF53" s="168">
        <v>58.019860420159723</v>
      </c>
      <c r="BG53" s="168">
        <v>1250</v>
      </c>
      <c r="BH53" s="168">
        <v>3414.3735884511957</v>
      </c>
      <c r="BI53" s="168">
        <v>1.4073370397208909</v>
      </c>
      <c r="BJ53" s="168">
        <v>114.45296298025336</v>
      </c>
      <c r="BK53" s="168">
        <v>168.39713233130158</v>
      </c>
      <c r="BL53" s="168">
        <v>2.8146740794417817</v>
      </c>
      <c r="BM53" s="168">
        <v>200.69883907487795</v>
      </c>
      <c r="BN53" s="168">
        <v>2.8027443563821055E-3</v>
      </c>
      <c r="BO53" s="168">
        <v>0.12745951097880356</v>
      </c>
    </row>
    <row r="54" spans="2:67" ht="20.399999999999999" thickBot="1" x14ac:dyDescent="0.45">
      <c r="B54" s="62"/>
      <c r="C54" s="54" t="s">
        <v>23</v>
      </c>
      <c r="D54" s="54"/>
      <c r="E54" s="211">
        <f>Q89</f>
        <v>8.385807749576637</v>
      </c>
      <c r="F54" s="504">
        <f>U55</f>
        <v>8.385807749576637</v>
      </c>
      <c r="G54" s="505"/>
      <c r="H54" s="329"/>
      <c r="I54" s="84" t="s">
        <v>470</v>
      </c>
      <c r="J54" s="209"/>
      <c r="K54" s="431"/>
      <c r="L54" s="155"/>
      <c r="M54" s="198"/>
      <c r="N54" s="155"/>
      <c r="Q54" s="199"/>
      <c r="R54" s="219"/>
      <c r="T54" s="54" t="s">
        <v>510</v>
      </c>
      <c r="U54" s="210">
        <f>IF(Q88="Out of Range","Out of Range",Q88*Q73)</f>
        <v>2939.3873235593283</v>
      </c>
      <c r="V54" s="225" t="s">
        <v>311</v>
      </c>
      <c r="Z54" s="498"/>
      <c r="AA54" s="499"/>
      <c r="AB54" s="500"/>
      <c r="AC54" s="171"/>
      <c r="AD54" s="172"/>
      <c r="AE54" s="172"/>
      <c r="AF54" s="172"/>
      <c r="AG54" s="172"/>
      <c r="AH54" s="172"/>
      <c r="AI54" s="173"/>
      <c r="AJ54" s="174"/>
      <c r="AK54" s="344"/>
      <c r="AL54" s="344"/>
      <c r="AM54" s="344"/>
      <c r="AN54" s="345"/>
      <c r="AO54" s="429"/>
      <c r="AQ54" s="109"/>
      <c r="AS54" s="168">
        <f>30*$BA$16</f>
        <v>1500</v>
      </c>
      <c r="AT54" s="168">
        <f>30*$BA$16*$J$24</f>
        <v>1500</v>
      </c>
      <c r="AU54" s="168">
        <v>69.623832504191668</v>
      </c>
      <c r="AV54" s="168">
        <v>4133.1117513557983</v>
      </c>
      <c r="AW54" s="168">
        <v>1.0889846981784896</v>
      </c>
      <c r="AX54" s="168">
        <v>94.305399015401832</v>
      </c>
      <c r="AY54" s="168">
        <v>175.2447832443211</v>
      </c>
      <c r="AZ54" s="168">
        <v>2.1779693963569793</v>
      </c>
      <c r="BA54" s="168">
        <v>164.57838470681924</v>
      </c>
      <c r="BB54" s="168" t="str">
        <v>Out of Range</v>
      </c>
      <c r="BC54" s="168" t="str">
        <v>Out of Range</v>
      </c>
      <c r="BE54" s="168">
        <f>30*$BL$16</f>
        <v>1500</v>
      </c>
      <c r="BF54" s="168">
        <v>69.623832504191668</v>
      </c>
      <c r="BG54" s="168">
        <v>1500</v>
      </c>
      <c r="BH54" s="168">
        <v>4133.1117513557983</v>
      </c>
      <c r="BI54" s="168">
        <v>1.0889846981784896</v>
      </c>
      <c r="BJ54" s="168">
        <v>94.305399015401832</v>
      </c>
      <c r="BK54" s="168">
        <v>175.2447832443211</v>
      </c>
      <c r="BL54" s="168">
        <v>2.1779693963569793</v>
      </c>
      <c r="BM54" s="168">
        <v>164.57838470681924</v>
      </c>
      <c r="BN54" s="168" t="str">
        <v>Out of Range</v>
      </c>
      <c r="BO54" s="168" t="str">
        <v>Out of Range</v>
      </c>
    </row>
    <row r="55" spans="2:67" ht="18" x14ac:dyDescent="0.4">
      <c r="B55" s="62"/>
      <c r="C55" s="54" t="s">
        <v>459</v>
      </c>
      <c r="D55" s="54"/>
      <c r="E55" s="211"/>
      <c r="F55" s="504"/>
      <c r="G55" s="505"/>
      <c r="H55" s="329"/>
      <c r="I55" s="331" t="s">
        <v>471</v>
      </c>
      <c r="J55" s="209"/>
      <c r="K55" s="382">
        <f>AM169</f>
        <v>1</v>
      </c>
      <c r="L55" s="54"/>
      <c r="M55" s="141"/>
      <c r="N55" s="54"/>
      <c r="P55" s="221" t="s">
        <v>478</v>
      </c>
      <c r="R55" s="220"/>
      <c r="S55" s="199"/>
      <c r="T55" s="54" t="s">
        <v>511</v>
      </c>
      <c r="U55" s="210">
        <f>IF(Q89="Out of Range","Out of Range",Q89*Q70)</f>
        <v>8.385807749576637</v>
      </c>
      <c r="V55" s="225" t="s">
        <v>312</v>
      </c>
      <c r="Y55" s="155"/>
      <c r="AC55" s="179"/>
      <c r="AD55" s="180"/>
      <c r="AE55" s="180"/>
      <c r="AF55" s="180"/>
      <c r="AG55" s="180"/>
      <c r="AH55" s="180"/>
      <c r="AI55" s="180"/>
      <c r="AS55" s="168">
        <f>35*$BA$16</f>
        <v>1750</v>
      </c>
      <c r="AT55" s="168">
        <f>35*$BA$16*$J$24</f>
        <v>1750</v>
      </c>
      <c r="AU55" s="168">
        <v>81.227804588223606</v>
      </c>
      <c r="AV55" s="168">
        <v>4857.6251017459954</v>
      </c>
      <c r="AW55" s="168">
        <v>0.87670689679392844</v>
      </c>
      <c r="AX55" s="168">
        <v>80.064328646522512</v>
      </c>
      <c r="AY55" s="168">
        <v>180.97969227155954</v>
      </c>
      <c r="AZ55" s="168">
        <v>1.7534137935878569</v>
      </c>
      <c r="BA55" s="168">
        <v>138.86048069550009</v>
      </c>
      <c r="BB55" s="168" t="str">
        <v>Out of Range</v>
      </c>
      <c r="BC55" s="168" t="str">
        <v>Out of Range</v>
      </c>
      <c r="BE55" s="168">
        <f>35*$BL$16</f>
        <v>1750</v>
      </c>
      <c r="BF55" s="168">
        <v>81.227804588223606</v>
      </c>
      <c r="BG55" s="168">
        <v>1750</v>
      </c>
      <c r="BH55" s="168">
        <v>4857.6251017459954</v>
      </c>
      <c r="BI55" s="168">
        <v>0.87670689679392844</v>
      </c>
      <c r="BJ55" s="168">
        <v>80.064328646522512</v>
      </c>
      <c r="BK55" s="168">
        <v>180.97969227155954</v>
      </c>
      <c r="BL55" s="168">
        <v>1.7534137935878569</v>
      </c>
      <c r="BM55" s="168">
        <v>138.86048069550009</v>
      </c>
      <c r="BN55" s="168" t="str">
        <v>Out of Range</v>
      </c>
      <c r="BO55" s="168" t="str">
        <v>Out of Range</v>
      </c>
    </row>
    <row r="56" spans="2:67" ht="18" x14ac:dyDescent="0.4">
      <c r="B56" s="62"/>
      <c r="C56" s="54"/>
      <c r="D56" s="54"/>
      <c r="E56" s="211"/>
      <c r="F56" s="504"/>
      <c r="G56" s="505"/>
      <c r="H56" s="332"/>
      <c r="I56" s="84" t="s">
        <v>26</v>
      </c>
      <c r="J56" s="209"/>
      <c r="K56" s="209"/>
      <c r="L56" s="54"/>
      <c r="M56" s="141"/>
      <c r="N56" s="54"/>
      <c r="P56" s="54" t="s">
        <v>479</v>
      </c>
      <c r="R56" s="220"/>
      <c r="S56" s="199"/>
      <c r="T56" s="54" t="s">
        <v>512</v>
      </c>
      <c r="U56" s="210">
        <f>IF(Q90="Out of Range","Out of Range",Q90*Q73)</f>
        <v>161.8827004513237</v>
      </c>
      <c r="V56" s="225" t="s">
        <v>313</v>
      </c>
      <c r="AS56" s="168">
        <f>40*$BA$16</f>
        <v>2000</v>
      </c>
      <c r="AT56" s="168">
        <f>40*$BA$16*$J$24</f>
        <v>2000</v>
      </c>
      <c r="AU56" s="168">
        <v>92.831776672255558</v>
      </c>
      <c r="AV56" s="168">
        <v>5587.1194457548609</v>
      </c>
      <c r="AW56" s="168">
        <v>0.72657918224696849</v>
      </c>
      <c r="AX56" s="168">
        <v>69.478689570474913</v>
      </c>
      <c r="AY56" s="168">
        <v>185.89248728759281</v>
      </c>
      <c r="AZ56" s="168">
        <v>1.453158364493937</v>
      </c>
      <c r="BA56" s="168">
        <v>119.63919545978607</v>
      </c>
      <c r="BB56" s="168" t="str">
        <v>Out of Range</v>
      </c>
      <c r="BC56" s="168" t="str">
        <v>Out of Range</v>
      </c>
      <c r="BE56" s="168">
        <f>40*$BL$16</f>
        <v>2000</v>
      </c>
      <c r="BF56" s="168">
        <v>92.831776672255558</v>
      </c>
      <c r="BG56" s="168">
        <v>2000</v>
      </c>
      <c r="BH56" s="168">
        <v>5587.1194457548609</v>
      </c>
      <c r="BI56" s="168">
        <v>0.72657918224696849</v>
      </c>
      <c r="BJ56" s="168">
        <v>69.478689570474913</v>
      </c>
      <c r="BK56" s="168">
        <v>185.89248728759281</v>
      </c>
      <c r="BL56" s="168">
        <v>1.453158364493937</v>
      </c>
      <c r="BM56" s="168">
        <v>119.63919545978607</v>
      </c>
      <c r="BN56" s="168" t="str">
        <v>Out of Range</v>
      </c>
      <c r="BO56" s="168" t="str">
        <v>Out of Range</v>
      </c>
    </row>
    <row r="57" spans="2:67" ht="18.600000000000001" thickBot="1" x14ac:dyDescent="0.35">
      <c r="B57" s="62"/>
      <c r="C57" s="54" t="s">
        <v>284</v>
      </c>
      <c r="D57" s="54"/>
      <c r="E57" s="211">
        <f>Q90</f>
        <v>161.8827004513237</v>
      </c>
      <c r="F57" s="504">
        <f>U56</f>
        <v>161.8827004513237</v>
      </c>
      <c r="G57" s="505"/>
      <c r="H57" s="329"/>
      <c r="J57" s="209"/>
      <c r="K57" s="209"/>
      <c r="L57" s="54"/>
      <c r="M57" s="141"/>
      <c r="N57" s="54"/>
      <c r="P57" s="54" t="s">
        <v>170</v>
      </c>
      <c r="Q57" s="212">
        <f>INDEX($AP$6:$AP$14,$Q$24)</f>
        <v>10000</v>
      </c>
      <c r="R57" s="247" t="s">
        <v>291</v>
      </c>
      <c r="V57" s="85"/>
      <c r="W57" s="196"/>
      <c r="Z57" s="61" t="s">
        <v>388</v>
      </c>
      <c r="AS57" s="168">
        <f>45*$BA$16</f>
        <v>2250</v>
      </c>
      <c r="AT57" s="168">
        <f>45*$BA$16*$J$24</f>
        <v>2250</v>
      </c>
      <c r="AU57" s="168">
        <v>104.4357487562875</v>
      </c>
      <c r="AV57" s="168">
        <v>6320.9967810221742</v>
      </c>
      <c r="AW57" s="168">
        <v>0.61564706352334075</v>
      </c>
      <c r="AX57" s="168">
        <v>61.309481014566806</v>
      </c>
      <c r="AY57" s="168">
        <v>190.17370312012218</v>
      </c>
      <c r="AZ57" s="168">
        <v>1.2312941270466815</v>
      </c>
      <c r="BA57" s="168">
        <v>104.74625797819654</v>
      </c>
      <c r="BB57" s="168" t="str">
        <v>Out of Range</v>
      </c>
      <c r="BC57" s="168" t="str">
        <v>Out of Range</v>
      </c>
      <c r="BE57" s="168">
        <f>45*$BL$16</f>
        <v>2250</v>
      </c>
      <c r="BF57" s="168">
        <v>104.4357487562875</v>
      </c>
      <c r="BG57" s="168">
        <v>2250</v>
      </c>
      <c r="BH57" s="168">
        <v>6320.9967810221742</v>
      </c>
      <c r="BI57" s="168">
        <v>0.61564706352334075</v>
      </c>
      <c r="BJ57" s="168">
        <v>61.309481014566806</v>
      </c>
      <c r="BK57" s="168">
        <v>190.17370312012218</v>
      </c>
      <c r="BL57" s="168">
        <v>1.2312941270466815</v>
      </c>
      <c r="BM57" s="168">
        <v>104.74625797819654</v>
      </c>
      <c r="BN57" s="168" t="str">
        <v>Out of Range</v>
      </c>
      <c r="BO57" s="168" t="str">
        <v>Out of Range</v>
      </c>
    </row>
    <row r="58" spans="2:67" ht="20.399999999999999" thickBot="1" x14ac:dyDescent="0.45">
      <c r="B58" s="62"/>
      <c r="C58" s="54" t="s">
        <v>458</v>
      </c>
      <c r="D58" s="54"/>
      <c r="E58" s="244"/>
      <c r="F58" s="521"/>
      <c r="G58" s="522"/>
      <c r="H58" s="333"/>
      <c r="J58" s="245"/>
      <c r="K58" s="245"/>
      <c r="L58" s="196"/>
      <c r="M58" s="246"/>
      <c r="N58" s="196"/>
      <c r="P58" s="54" t="s">
        <v>171</v>
      </c>
      <c r="Q58" s="212" t="str">
        <f>IF(Q23=1,"N/A",INDEX($AO$30:$AO$41,$Q$23-1))</f>
        <v>N/A</v>
      </c>
      <c r="R58" s="247" t="s">
        <v>277</v>
      </c>
      <c r="S58" s="193" t="s">
        <v>186</v>
      </c>
      <c r="X58" s="196"/>
      <c r="Z58" s="572" t="s">
        <v>372</v>
      </c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4"/>
      <c r="AS58" s="168">
        <f>50*$BA$16</f>
        <v>2500</v>
      </c>
      <c r="AT58" s="168">
        <f>50*$BA$16*$J$24</f>
        <v>2500</v>
      </c>
      <c r="AU58" s="168">
        <v>116.03972084031945</v>
      </c>
      <c r="AV58" s="168">
        <v>7058.790097625867</v>
      </c>
      <c r="AW58" s="168">
        <v>0.53084694959920831</v>
      </c>
      <c r="AX58" s="168">
        <v>54.819262034361572</v>
      </c>
      <c r="AY58" s="168">
        <v>193.95503424917658</v>
      </c>
      <c r="AZ58" s="168">
        <v>1.0616938991984166</v>
      </c>
      <c r="BA58" s="168">
        <v>92.881017347277833</v>
      </c>
      <c r="BB58" s="168" t="str">
        <v>Out of Range</v>
      </c>
      <c r="BC58" s="168" t="str">
        <v>Out of Range</v>
      </c>
      <c r="BE58" s="168">
        <f>50*$BL$16</f>
        <v>2500</v>
      </c>
      <c r="BF58" s="168">
        <v>116.03972084031945</v>
      </c>
      <c r="BG58" s="168">
        <v>2500</v>
      </c>
      <c r="BH58" s="367">
        <v>7058.790097625867</v>
      </c>
      <c r="BI58" s="367">
        <v>0.53084694959920831</v>
      </c>
      <c r="BJ58" s="367">
        <v>54.819262034361572</v>
      </c>
      <c r="BK58" s="367">
        <v>193.95503424917658</v>
      </c>
      <c r="BL58" s="367">
        <v>1.0616938991984166</v>
      </c>
      <c r="BM58" s="367">
        <v>92.881017347277833</v>
      </c>
      <c r="BN58" s="367" t="str">
        <v>Out of Range</v>
      </c>
      <c r="BO58" s="367" t="str">
        <v>Out of Range</v>
      </c>
    </row>
    <row r="59" spans="2:67" ht="19.5" customHeight="1" thickBot="1" x14ac:dyDescent="0.45">
      <c r="B59" s="62"/>
      <c r="C59" s="54"/>
      <c r="D59" s="54"/>
      <c r="E59" s="54"/>
      <c r="F59" s="54"/>
      <c r="G59" s="54"/>
      <c r="H59" s="54"/>
      <c r="I59" s="54"/>
      <c r="J59" s="196"/>
      <c r="K59" s="196"/>
      <c r="L59" s="60"/>
      <c r="M59" s="189"/>
      <c r="N59" s="60"/>
      <c r="P59" s="54" t="s">
        <v>173</v>
      </c>
      <c r="Q59" s="212">
        <f>IF(Q23=1,Q57,Q58)</f>
        <v>10000</v>
      </c>
      <c r="R59" s="247"/>
      <c r="S59" s="212"/>
      <c r="T59" s="54" t="s">
        <v>187</v>
      </c>
      <c r="U59" s="210">
        <f>AM125*100</f>
        <v>100</v>
      </c>
      <c r="V59" s="54" t="s">
        <v>314</v>
      </c>
      <c r="Z59" s="580" t="s">
        <v>330</v>
      </c>
      <c r="AA59" s="544" t="s">
        <v>408</v>
      </c>
      <c r="AB59" s="546" t="s">
        <v>373</v>
      </c>
      <c r="AC59" s="547"/>
      <c r="AD59" s="547"/>
      <c r="AE59" s="547"/>
      <c r="AF59" s="547"/>
      <c r="AG59" s="547"/>
      <c r="AH59" s="547"/>
      <c r="AI59" s="548"/>
      <c r="AJ59" s="549" t="s">
        <v>397</v>
      </c>
      <c r="AK59" s="638" t="s">
        <v>267</v>
      </c>
      <c r="AL59" s="639"/>
      <c r="AM59" s="553" t="s">
        <v>399</v>
      </c>
      <c r="AN59" s="554"/>
      <c r="AP59" s="227"/>
      <c r="AS59" s="252">
        <f>60*$BA$16</f>
        <v>3000</v>
      </c>
      <c r="AT59" s="252">
        <f>60*$BA$16*$J$24</f>
        <v>3000</v>
      </c>
      <c r="AU59" s="252">
        <v>139.24766500838334</v>
      </c>
      <c r="AV59" s="252">
        <v>8544.6913019513686</v>
      </c>
      <c r="AW59" s="252">
        <v>0.41076457797409671</v>
      </c>
      <c r="AX59" s="252">
        <v>45.169231492698735</v>
      </c>
      <c r="AY59" s="252">
        <v>200.37297829809913</v>
      </c>
      <c r="AZ59" s="252">
        <v>0.82152915594819342</v>
      </c>
      <c r="BA59" s="252">
        <v>75.198836655315375</v>
      </c>
      <c r="BB59" s="252" t="str">
        <v>Out of Range</v>
      </c>
      <c r="BC59" s="252" t="str">
        <v>Out of Range</v>
      </c>
      <c r="BE59" s="252">
        <f>60*$BL$16</f>
        <v>3000</v>
      </c>
      <c r="BF59" s="254">
        <v>139.24766500838334</v>
      </c>
      <c r="BG59" s="254">
        <v>3000</v>
      </c>
      <c r="BH59" s="254">
        <v>8544.6913019513686</v>
      </c>
      <c r="BI59" s="254">
        <v>0.41076457797409671</v>
      </c>
      <c r="BJ59" s="254">
        <v>45.169231492698735</v>
      </c>
      <c r="BK59" s="254">
        <v>200.37297829809913</v>
      </c>
      <c r="BL59" s="254">
        <v>0.82152915594819342</v>
      </c>
      <c r="BM59" s="254">
        <v>75.198836655315375</v>
      </c>
      <c r="BN59" s="254" t="str">
        <v>Out of Range</v>
      </c>
      <c r="BO59" s="254" t="str">
        <v>Out of Range</v>
      </c>
    </row>
    <row r="60" spans="2:67" ht="23.4" thickBot="1" x14ac:dyDescent="0.45">
      <c r="B60" s="62"/>
      <c r="C60" s="512" t="s">
        <v>556</v>
      </c>
      <c r="D60" s="512"/>
      <c r="E60" s="512"/>
      <c r="F60" s="512"/>
      <c r="G60" s="512" t="s">
        <v>557</v>
      </c>
      <c r="H60" s="512"/>
      <c r="I60" s="512"/>
      <c r="J60" s="512"/>
      <c r="K60" s="512"/>
      <c r="L60" s="512"/>
      <c r="M60" s="189"/>
      <c r="N60" s="60"/>
      <c r="P60" s="54" t="s">
        <v>482</v>
      </c>
      <c r="R60" s="220"/>
      <c r="S60" s="212"/>
      <c r="T60" s="54" t="s">
        <v>188</v>
      </c>
      <c r="U60" s="210">
        <f>AM133*100</f>
        <v>100</v>
      </c>
      <c r="V60" s="54" t="s">
        <v>315</v>
      </c>
      <c r="Z60" s="543"/>
      <c r="AA60" s="545"/>
      <c r="AB60" s="228" t="s">
        <v>87</v>
      </c>
      <c r="AC60" s="229" t="s">
        <v>88</v>
      </c>
      <c r="AD60" s="229" t="s">
        <v>89</v>
      </c>
      <c r="AE60" s="229" t="s">
        <v>37</v>
      </c>
      <c r="AF60" s="229" t="s">
        <v>90</v>
      </c>
      <c r="AG60" s="229" t="s">
        <v>91</v>
      </c>
      <c r="AH60" s="229" t="s">
        <v>92</v>
      </c>
      <c r="AI60" s="230" t="s">
        <v>93</v>
      </c>
      <c r="AJ60" s="550"/>
      <c r="AK60" s="81" t="s">
        <v>261</v>
      </c>
      <c r="AL60" s="214" t="s">
        <v>262</v>
      </c>
      <c r="AM60" s="555"/>
      <c r="AN60" s="556"/>
      <c r="AP60" s="178"/>
      <c r="AS60" s="53" t="s">
        <v>589</v>
      </c>
      <c r="BE60" s="53" t="s">
        <v>589</v>
      </c>
    </row>
    <row r="61" spans="2:67" ht="18.75" customHeight="1" thickTop="1" x14ac:dyDescent="0.3">
      <c r="B61" s="62"/>
      <c r="C61" s="517" t="s">
        <v>558</v>
      </c>
      <c r="D61" s="517"/>
      <c r="E61" s="517"/>
      <c r="F61" s="518"/>
      <c r="G61" s="520" t="s">
        <v>560</v>
      </c>
      <c r="H61" s="520"/>
      <c r="I61" s="520"/>
      <c r="J61" s="520"/>
      <c r="K61" s="520"/>
      <c r="L61" s="520"/>
      <c r="M61" s="141"/>
      <c r="N61" s="54"/>
      <c r="P61" s="54" t="s">
        <v>170</v>
      </c>
      <c r="Q61" s="212">
        <f>INDEX($AP$16:$AP$24,$Q$24)</f>
        <v>10000</v>
      </c>
      <c r="R61" s="247" t="s">
        <v>290</v>
      </c>
      <c r="S61" s="212"/>
      <c r="T61" s="54" t="s">
        <v>217</v>
      </c>
      <c r="U61" s="210">
        <f>AM142*100</f>
        <v>100</v>
      </c>
      <c r="V61" s="54" t="s">
        <v>316</v>
      </c>
      <c r="Z61" s="231" t="s">
        <v>332</v>
      </c>
      <c r="AA61" s="681">
        <f>$Q$79</f>
        <v>4.6415888336127775</v>
      </c>
      <c r="AB61" s="404">
        <v>-0.7610177552405144</v>
      </c>
      <c r="AC61" s="405">
        <v>1.8044785565806174</v>
      </c>
      <c r="AD61" s="405">
        <v>0.13258176813853029</v>
      </c>
      <c r="AE61" s="405">
        <v>-4.1874210157711825E-2</v>
      </c>
      <c r="AF61" s="405">
        <v>-3.6170312581891219E-2</v>
      </c>
      <c r="AG61" s="405">
        <v>-8.6149999999999994E-3</v>
      </c>
      <c r="AH61" s="233">
        <v>0</v>
      </c>
      <c r="AI61" s="234">
        <v>0</v>
      </c>
      <c r="AJ61" s="235">
        <f>EXP(AB61+AC61*LN($AA$61)+AD61*(LN($AA$61))^2+AE61*(LN($AA$61))^3+AF61*(LN($AA$61))^4+AG61*(LN($AA$61))^5+AH61*(LN($AA$61))^6+AI61*(LN($AA$61))^7)</f>
        <v>6.6567844266117948</v>
      </c>
      <c r="AK61" s="236">
        <v>0.06</v>
      </c>
      <c r="AL61" s="237">
        <v>1.5</v>
      </c>
      <c r="AM61" s="563">
        <f>IF(OR($AA$61&lt;AK61,$AA$61&gt;AL63),"Out of Range",INDEX(AJ61:AJ63,MATCH(AA61,AK61:AK63,1)))</f>
        <v>7.3346855414707788</v>
      </c>
      <c r="AN61" s="564"/>
    </row>
    <row r="62" spans="2:67" ht="15.75" customHeight="1" x14ac:dyDescent="0.3">
      <c r="B62" s="62"/>
      <c r="C62" s="514" t="s">
        <v>561</v>
      </c>
      <c r="D62" s="514"/>
      <c r="E62" s="362">
        <f>U77</f>
        <v>0.47254134493750422</v>
      </c>
      <c r="F62" s="354"/>
      <c r="G62" s="54"/>
      <c r="H62" s="54"/>
      <c r="I62" s="84"/>
      <c r="J62" s="382">
        <f>U86</f>
        <v>4.7095973810586377E-35</v>
      </c>
      <c r="K62" s="328"/>
      <c r="L62" s="54"/>
      <c r="M62" s="141"/>
      <c r="N62" s="54"/>
      <c r="P62" s="54" t="s">
        <v>171</v>
      </c>
      <c r="Q62" s="212" t="str">
        <f>IF(Q23=1,"N/A",INDEX($AO$43:$AO$54,$Q$23-1,1))</f>
        <v>N/A</v>
      </c>
      <c r="R62" s="247" t="s">
        <v>278</v>
      </c>
      <c r="T62" s="54" t="s">
        <v>189</v>
      </c>
      <c r="U62" s="210">
        <f>100*AM151</f>
        <v>100</v>
      </c>
      <c r="V62" s="54" t="s">
        <v>317</v>
      </c>
      <c r="Y62" s="196"/>
      <c r="Z62" s="238" t="s">
        <v>334</v>
      </c>
      <c r="AA62" s="558"/>
      <c r="AB62" s="406">
        <v>-0.7401964110434871</v>
      </c>
      <c r="AC62" s="407">
        <v>1.6638224777894959</v>
      </c>
      <c r="AD62" s="407">
        <v>0.45234268032180086</v>
      </c>
      <c r="AE62" s="407">
        <v>-0.36834430741037372</v>
      </c>
      <c r="AF62" s="407">
        <v>9.2713702034275119E-2</v>
      </c>
      <c r="AG62" s="407">
        <v>-8.1629000000000007E-3</v>
      </c>
      <c r="AH62" s="240">
        <v>0</v>
      </c>
      <c r="AI62" s="241">
        <v>0</v>
      </c>
      <c r="AJ62" s="97">
        <f>EXP(AB62+AC62*LN($AA$61)+AD62*(LN($AA$61))^2+AE62*(LN($AA$61))^3+AF62*(LN($AA$61))^4+AG62*(LN($AA$61))^5+AH62*(LN($AA$61))^6+AI62*(LN($AA$61))^7)</f>
        <v>7.3346855414707788</v>
      </c>
      <c r="AK62" s="92">
        <v>1.5</v>
      </c>
      <c r="AL62" s="195">
        <v>40</v>
      </c>
      <c r="AM62" s="565"/>
      <c r="AN62" s="566"/>
    </row>
    <row r="63" spans="2:67" ht="20.399999999999999" thickBot="1" x14ac:dyDescent="0.45">
      <c r="B63" s="62"/>
      <c r="C63" s="514" t="s">
        <v>562</v>
      </c>
      <c r="D63" s="514"/>
      <c r="E63" s="362">
        <f>U78</f>
        <v>0.16451040124497643</v>
      </c>
      <c r="F63" s="355"/>
      <c r="G63" s="54"/>
      <c r="H63" s="259"/>
      <c r="I63" s="331"/>
      <c r="J63" s="54"/>
      <c r="K63" s="54"/>
      <c r="L63" s="54"/>
      <c r="M63" s="141"/>
      <c r="N63" s="54"/>
      <c r="P63" s="54" t="s">
        <v>174</v>
      </c>
      <c r="Q63" s="212">
        <f>IF(Q23=1,Q61,Q62)</f>
        <v>10000</v>
      </c>
      <c r="R63" s="247"/>
      <c r="S63" s="212"/>
      <c r="T63" s="54" t="s">
        <v>190</v>
      </c>
      <c r="U63" s="210">
        <f>100*AM160</f>
        <v>100</v>
      </c>
      <c r="V63" s="54" t="s">
        <v>318</v>
      </c>
      <c r="Z63" s="242" t="s">
        <v>395</v>
      </c>
      <c r="AA63" s="559"/>
      <c r="AB63" s="569" t="s">
        <v>598</v>
      </c>
      <c r="AC63" s="570"/>
      <c r="AD63" s="570"/>
      <c r="AE63" s="570"/>
      <c r="AF63" s="570"/>
      <c r="AG63" s="570"/>
      <c r="AH63" s="570"/>
      <c r="AI63" s="571"/>
      <c r="AJ63" s="174">
        <f>2.2495832*$AA$61^1.0478</f>
        <v>11.236612217585494</v>
      </c>
      <c r="AK63" s="81">
        <v>40</v>
      </c>
      <c r="AL63" s="214">
        <v>198.5</v>
      </c>
      <c r="AM63" s="567"/>
      <c r="AN63" s="568"/>
    </row>
    <row r="64" spans="2:67" ht="18.600000000000001" x14ac:dyDescent="0.3">
      <c r="B64" s="62"/>
      <c r="C64" s="514" t="s">
        <v>563</v>
      </c>
      <c r="D64" s="514"/>
      <c r="E64" s="362">
        <f>U79</f>
        <v>3.4161628719730519E-3</v>
      </c>
      <c r="F64" s="354"/>
      <c r="G64" s="54"/>
      <c r="H64" s="54"/>
      <c r="I64" s="84"/>
      <c r="J64" s="54"/>
      <c r="K64" s="54"/>
      <c r="L64" s="54"/>
      <c r="M64" s="141"/>
      <c r="N64" s="54"/>
      <c r="R64" s="247"/>
      <c r="S64" s="212"/>
      <c r="T64" s="54" t="s">
        <v>191</v>
      </c>
      <c r="U64" s="210">
        <f>100*AM169</f>
        <v>100</v>
      </c>
      <c r="V64" s="54" t="s">
        <v>319</v>
      </c>
      <c r="Z64" s="243"/>
      <c r="AA64" s="243"/>
      <c r="AB64" s="243"/>
    </row>
    <row r="65" spans="2:40" ht="16.2" thickBot="1" x14ac:dyDescent="0.35">
      <c r="B65" s="262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4"/>
      <c r="N65" s="54"/>
      <c r="O65" s="54" t="s">
        <v>294</v>
      </c>
      <c r="R65" s="247"/>
      <c r="S65" s="212"/>
      <c r="Z65" s="61" t="s">
        <v>389</v>
      </c>
      <c r="AA65" s="243"/>
      <c r="AB65" s="243"/>
      <c r="AC65" s="243"/>
      <c r="AD65" s="243"/>
      <c r="AE65" s="243"/>
      <c r="AF65" s="243"/>
      <c r="AG65" s="243"/>
      <c r="AH65" s="53"/>
      <c r="AI65" s="53"/>
    </row>
    <row r="66" spans="2:40" ht="19.2" thickTop="1" thickBot="1" x14ac:dyDescent="0.45">
      <c r="C66" s="516" t="s">
        <v>620</v>
      </c>
      <c r="D66" s="516"/>
      <c r="E66" s="516"/>
      <c r="F66" s="516"/>
      <c r="G66" s="516"/>
      <c r="H66" s="516"/>
      <c r="I66" s="516"/>
      <c r="J66" s="516"/>
      <c r="K66" s="516"/>
      <c r="L66" s="516"/>
      <c r="P66" s="85" t="s">
        <v>483</v>
      </c>
      <c r="Q66" s="105">
        <f>IF($T$27="Pressure (kPa)",$Q$35,101.325*EXP(-0.00012365*$Q$34))</f>
        <v>101.325</v>
      </c>
      <c r="R66" s="247" t="s">
        <v>271</v>
      </c>
      <c r="S66" s="193" t="s">
        <v>29</v>
      </c>
      <c r="Z66" s="572" t="s">
        <v>382</v>
      </c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4"/>
    </row>
    <row r="67" spans="2:40" ht="19.5" customHeight="1" thickBot="1" x14ac:dyDescent="0.35">
      <c r="C67" s="54"/>
      <c r="D67" s="54"/>
      <c r="E67" s="90"/>
      <c r="F67" s="90"/>
      <c r="P67" s="54" t="s">
        <v>523</v>
      </c>
      <c r="Q67" s="105">
        <f>IF($T$27="Altitude (meters)",$Q$34,-8087.34*LN($Q$35/$U$31))</f>
        <v>0</v>
      </c>
      <c r="R67" s="247" t="s">
        <v>271</v>
      </c>
      <c r="T67" s="54" t="s">
        <v>515</v>
      </c>
      <c r="U67" s="210">
        <f>IF(AM177="Out of Range","Out of Range",AM177)</f>
        <v>4.6460861386227226</v>
      </c>
      <c r="V67" s="265" t="s">
        <v>453</v>
      </c>
      <c r="W67" s="265"/>
      <c r="Z67" s="542" t="s">
        <v>330</v>
      </c>
      <c r="AA67" s="544" t="s">
        <v>408</v>
      </c>
      <c r="AB67" s="546" t="s">
        <v>374</v>
      </c>
      <c r="AC67" s="547"/>
      <c r="AD67" s="547"/>
      <c r="AE67" s="547"/>
      <c r="AF67" s="547"/>
      <c r="AG67" s="547"/>
      <c r="AH67" s="547"/>
      <c r="AI67" s="548"/>
      <c r="AJ67" s="549" t="s">
        <v>397</v>
      </c>
      <c r="AK67" s="551" t="s">
        <v>267</v>
      </c>
      <c r="AL67" s="552"/>
      <c r="AM67" s="553" t="s">
        <v>399</v>
      </c>
      <c r="AN67" s="554"/>
    </row>
    <row r="68" spans="2:40" ht="16.2" thickBot="1" x14ac:dyDescent="0.35">
      <c r="C68" s="54"/>
      <c r="D68" s="54"/>
      <c r="P68" s="85" t="s">
        <v>219</v>
      </c>
      <c r="Q68" s="105">
        <f>I9</f>
        <v>15</v>
      </c>
      <c r="R68" s="247"/>
      <c r="T68" s="267" t="s">
        <v>192</v>
      </c>
      <c r="U68" s="77"/>
      <c r="V68" s="265"/>
      <c r="W68" s="265"/>
      <c r="X68" s="265"/>
      <c r="Z68" s="543"/>
      <c r="AA68" s="545"/>
      <c r="AB68" s="228" t="s">
        <v>87</v>
      </c>
      <c r="AC68" s="229" t="s">
        <v>88</v>
      </c>
      <c r="AD68" s="229" t="s">
        <v>89</v>
      </c>
      <c r="AE68" s="229" t="s">
        <v>37</v>
      </c>
      <c r="AF68" s="229" t="s">
        <v>90</v>
      </c>
      <c r="AG68" s="229" t="s">
        <v>91</v>
      </c>
      <c r="AH68" s="229" t="s">
        <v>92</v>
      </c>
      <c r="AI68" s="230" t="s">
        <v>93</v>
      </c>
      <c r="AJ68" s="550"/>
      <c r="AK68" s="81" t="s">
        <v>261</v>
      </c>
      <c r="AL68" s="81" t="s">
        <v>262</v>
      </c>
      <c r="AM68" s="555"/>
      <c r="AN68" s="556"/>
    </row>
    <row r="69" spans="2:40" ht="16.2" thickTop="1" x14ac:dyDescent="0.3">
      <c r="C69" s="54"/>
      <c r="D69" s="54"/>
      <c r="P69" s="85" t="s">
        <v>220</v>
      </c>
      <c r="Q69" s="266">
        <f>Q68+273.16</f>
        <v>288.16000000000003</v>
      </c>
      <c r="R69" s="247"/>
      <c r="T69" s="77" t="s">
        <v>201</v>
      </c>
      <c r="U69" s="210">
        <f>IF(U67="Out of Range","Out of Range",10-3.3*LN(U67))</f>
        <v>4.9311169239518087</v>
      </c>
      <c r="V69" s="265" t="s">
        <v>320</v>
      </c>
      <c r="W69" s="265"/>
      <c r="X69" s="265"/>
      <c r="Z69" s="231" t="s">
        <v>336</v>
      </c>
      <c r="AA69" s="681">
        <f>$Q$79</f>
        <v>4.6415888336127775</v>
      </c>
      <c r="AB69" s="232">
        <v>7.2106000000000003</v>
      </c>
      <c r="AC69" s="233">
        <v>-2.1069</v>
      </c>
      <c r="AD69" s="233">
        <v>-0.32290000000000002</v>
      </c>
      <c r="AE69" s="233">
        <v>0.11169999999999999</v>
      </c>
      <c r="AF69" s="233">
        <v>6.8500000000000005E-2</v>
      </c>
      <c r="AG69" s="233">
        <v>0</v>
      </c>
      <c r="AH69" s="233">
        <v>0</v>
      </c>
      <c r="AI69" s="234">
        <v>0</v>
      </c>
      <c r="AJ69" s="235">
        <f>EXP(AB69+AC69*LN($AA$69)+AD69*(LN($AA$69))^2+AE69*(LN($AA$69))^3+AF69*(LN($AA$69))^4+AG69*(LN($AA$69))^5+AH69*(LN($AA$69))^6+AI69*(LN($AA$69))^7)</f>
        <v>54.592903815302115</v>
      </c>
      <c r="AK69" s="236">
        <v>0.2</v>
      </c>
      <c r="AL69" s="237">
        <v>2.9</v>
      </c>
      <c r="AM69" s="563">
        <f>IF(OR($AA$69&lt;AK69,$AA$69&gt;AL71),"Out of Range",INDEX(AJ69:AJ71,MATCH(AA69,AK69:AK71,1)))</f>
        <v>49.31156135724909</v>
      </c>
      <c r="AN69" s="564"/>
    </row>
    <row r="70" spans="2:40" ht="18" x14ac:dyDescent="0.4">
      <c r="C70" s="54"/>
      <c r="D70" s="54"/>
      <c r="I70" s="193"/>
      <c r="P70" s="85" t="s">
        <v>166</v>
      </c>
      <c r="Q70" s="269">
        <f>($Q$66/$U$31)</f>
        <v>1</v>
      </c>
      <c r="R70" s="247" t="s">
        <v>279</v>
      </c>
      <c r="T70" s="77" t="s">
        <v>202</v>
      </c>
      <c r="U70" s="210">
        <f>IF(U67="Out of Range","Out of Range",9.4-3.5*LN(U67))</f>
        <v>4.0239118890397974</v>
      </c>
      <c r="V70" s="265" t="s">
        <v>321</v>
      </c>
      <c r="W70" s="265"/>
      <c r="X70" s="265"/>
      <c r="Z70" s="238" t="s">
        <v>338</v>
      </c>
      <c r="AA70" s="558"/>
      <c r="AB70" s="407">
        <v>7.5934529260729544</v>
      </c>
      <c r="AC70" s="407">
        <v>-3.0513319664067202</v>
      </c>
      <c r="AD70" s="407">
        <v>0.40907576429073211</v>
      </c>
      <c r="AE70" s="407">
        <v>2.6331301702610006E-2</v>
      </c>
      <c r="AF70" s="407">
        <v>-1.2699999999999999E-2</v>
      </c>
      <c r="AG70" s="240">
        <v>0</v>
      </c>
      <c r="AH70" s="240">
        <v>0</v>
      </c>
      <c r="AI70" s="241">
        <v>0</v>
      </c>
      <c r="AJ70" s="97">
        <f>EXP(AB70+AC70*LN($AA$69)+AD70*(LN($AA$69))^2+AE70*(LN($AA$69))^3+AF70*(LN($AA$69))^4+AG70*(LN($AA$69))^5+AH70*(LN($AA$69))^6+AI70*(LN($AA$69))^7)</f>
        <v>49.31156135724909</v>
      </c>
      <c r="AK70" s="92">
        <v>2.9</v>
      </c>
      <c r="AL70" s="195">
        <v>23.8</v>
      </c>
      <c r="AM70" s="565"/>
      <c r="AN70" s="566"/>
    </row>
    <row r="71" spans="2:40" ht="18.75" customHeight="1" thickBot="1" x14ac:dyDescent="0.45">
      <c r="I71" s="66"/>
      <c r="J71" s="77"/>
      <c r="K71" s="77"/>
      <c r="P71" s="85" t="s">
        <v>167</v>
      </c>
      <c r="Q71" s="269">
        <f>($U$31/$Q$66)^0.3333333333</f>
        <v>1</v>
      </c>
      <c r="R71" s="247" t="s">
        <v>280</v>
      </c>
      <c r="T71" s="77" t="s">
        <v>203</v>
      </c>
      <c r="U71" s="210">
        <f>IF(U67="Out of Range","Out of Range",8.9-4.3*LN(U67))</f>
        <v>2.2950917493917515</v>
      </c>
      <c r="V71" s="265" t="s">
        <v>322</v>
      </c>
      <c r="W71" s="265"/>
      <c r="X71" s="265"/>
      <c r="Z71" s="242" t="s">
        <v>340</v>
      </c>
      <c r="AA71" s="559"/>
      <c r="AB71" s="260">
        <v>6.0536000000000003</v>
      </c>
      <c r="AC71" s="260">
        <v>-1.4066000000000001</v>
      </c>
      <c r="AD71" s="260">
        <v>0</v>
      </c>
      <c r="AE71" s="260">
        <v>0</v>
      </c>
      <c r="AF71" s="260">
        <v>0</v>
      </c>
      <c r="AG71" s="260">
        <v>0</v>
      </c>
      <c r="AH71" s="260">
        <v>0</v>
      </c>
      <c r="AI71" s="261">
        <v>0</v>
      </c>
      <c r="AJ71" s="174">
        <f>EXP(AB71+AC71*LN($AA$69)+AD71*(LN($AA$69))^2+AE71*(LN($AA$69))^3+AF71*(LN($AA$69))^4+AG71*(LN($AA$69))^5+AH71*(LN($AA$69))^6+AI71*(LN($AA$69))^7)</f>
        <v>49.126038281288999</v>
      </c>
      <c r="AK71" s="81">
        <v>23.8</v>
      </c>
      <c r="AL71" s="214">
        <v>198.5</v>
      </c>
      <c r="AM71" s="567"/>
      <c r="AN71" s="568"/>
    </row>
    <row r="72" spans="2:40" ht="18" x14ac:dyDescent="0.4">
      <c r="I72" s="66"/>
      <c r="J72" s="77"/>
      <c r="K72" s="77"/>
      <c r="P72" s="85" t="s">
        <v>168</v>
      </c>
      <c r="Q72" s="269">
        <f>(($U$31/$Q$66)^0.3333333333)*(288.16/$Q$69)^0.5</f>
        <v>1</v>
      </c>
      <c r="R72" s="247" t="s">
        <v>281</v>
      </c>
      <c r="T72" s="221" t="s">
        <v>204</v>
      </c>
      <c r="U72" s="210"/>
      <c r="X72" s="265"/>
      <c r="Z72" s="243"/>
      <c r="AA72" s="243"/>
      <c r="AB72" s="243"/>
      <c r="AC72" s="243"/>
      <c r="AD72" s="243"/>
      <c r="AE72" s="243"/>
      <c r="AF72" s="243"/>
      <c r="AG72" s="243"/>
      <c r="AH72" s="53"/>
      <c r="AI72" s="53"/>
    </row>
    <row r="73" spans="2:40" ht="18.600000000000001" thickBot="1" x14ac:dyDescent="0.45">
      <c r="I73" s="66"/>
      <c r="J73" s="77"/>
      <c r="K73" s="77"/>
      <c r="P73" s="85" t="s">
        <v>169</v>
      </c>
      <c r="Q73" s="269">
        <f>(($Q$66/$U$31)^0.666666666)*(288.16/$Q$69)^0.5</f>
        <v>1</v>
      </c>
      <c r="R73" s="247" t="s">
        <v>282</v>
      </c>
      <c r="T73" s="77" t="s">
        <v>201</v>
      </c>
      <c r="U73" s="210">
        <f>IF(U69="Out of Range","Out of Range",U69-5)</f>
        <v>-6.8883076048191327E-2</v>
      </c>
      <c r="V73" s="54" t="s">
        <v>323</v>
      </c>
      <c r="Z73" s="61" t="s">
        <v>390</v>
      </c>
      <c r="AA73" s="243"/>
      <c r="AB73" s="243"/>
      <c r="AC73" s="243"/>
      <c r="AD73" s="243"/>
      <c r="AE73" s="243"/>
      <c r="AF73" s="243"/>
      <c r="AG73" s="243"/>
      <c r="AH73" s="243"/>
      <c r="AI73" s="53"/>
    </row>
    <row r="74" spans="2:40" ht="18.600000000000001" thickBot="1" x14ac:dyDescent="0.45">
      <c r="R74" s="247"/>
      <c r="T74" s="77" t="s">
        <v>202</v>
      </c>
      <c r="U74" s="210">
        <f>IF(U70="Out of Range","Out of Range",U70-5)</f>
        <v>-0.97608811096020265</v>
      </c>
      <c r="V74" s="54" t="s">
        <v>323</v>
      </c>
      <c r="Z74" s="572" t="s">
        <v>383</v>
      </c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4"/>
    </row>
    <row r="75" spans="2:40" ht="19.5" customHeight="1" thickBot="1" x14ac:dyDescent="0.35">
      <c r="I75" s="66"/>
      <c r="O75" s="54" t="s">
        <v>295</v>
      </c>
      <c r="P75" s="193"/>
      <c r="R75" s="247"/>
      <c r="T75" s="77" t="s">
        <v>203</v>
      </c>
      <c r="U75" s="210">
        <f>IF(U71="Out of Range","Out of Range",U71-5)</f>
        <v>-2.7049082506082485</v>
      </c>
      <c r="V75" s="54" t="s">
        <v>323</v>
      </c>
      <c r="Z75" s="542" t="s">
        <v>330</v>
      </c>
      <c r="AA75" s="544" t="s">
        <v>408</v>
      </c>
      <c r="AB75" s="546" t="s">
        <v>375</v>
      </c>
      <c r="AC75" s="547"/>
      <c r="AD75" s="547"/>
      <c r="AE75" s="547"/>
      <c r="AF75" s="547"/>
      <c r="AG75" s="547"/>
      <c r="AH75" s="547"/>
      <c r="AI75" s="548"/>
      <c r="AJ75" s="549" t="s">
        <v>397</v>
      </c>
      <c r="AK75" s="551" t="s">
        <v>267</v>
      </c>
      <c r="AL75" s="552"/>
      <c r="AM75" s="553" t="s">
        <v>399</v>
      </c>
      <c r="AN75" s="554"/>
    </row>
    <row r="76" spans="2:40" ht="16.2" thickBot="1" x14ac:dyDescent="0.35">
      <c r="I76" s="66"/>
      <c r="P76" s="54" t="s">
        <v>485</v>
      </c>
      <c r="Q76" s="109">
        <f>Q33/Q71</f>
        <v>100</v>
      </c>
      <c r="R76" s="247" t="s">
        <v>283</v>
      </c>
      <c r="T76" s="221" t="s">
        <v>205</v>
      </c>
      <c r="U76" s="210"/>
      <c r="Z76" s="543"/>
      <c r="AA76" s="545"/>
      <c r="AB76" s="228" t="s">
        <v>87</v>
      </c>
      <c r="AC76" s="229" t="s">
        <v>88</v>
      </c>
      <c r="AD76" s="229" t="s">
        <v>89</v>
      </c>
      <c r="AE76" s="229" t="s">
        <v>37</v>
      </c>
      <c r="AF76" s="229" t="s">
        <v>90</v>
      </c>
      <c r="AG76" s="229" t="s">
        <v>91</v>
      </c>
      <c r="AH76" s="229" t="s">
        <v>92</v>
      </c>
      <c r="AI76" s="230" t="s">
        <v>93</v>
      </c>
      <c r="AJ76" s="550"/>
      <c r="AK76" s="81" t="s">
        <v>261</v>
      </c>
      <c r="AL76" s="81" t="s">
        <v>262</v>
      </c>
      <c r="AM76" s="555"/>
      <c r="AN76" s="556"/>
    </row>
    <row r="77" spans="2:40" ht="20.399999999999999" thickTop="1" x14ac:dyDescent="0.4">
      <c r="I77" s="66"/>
      <c r="J77" s="337"/>
      <c r="K77" s="337"/>
      <c r="P77" s="54" t="s">
        <v>486</v>
      </c>
      <c r="Q77" s="109">
        <f>Q49/Q71</f>
        <v>4.6415888336127775</v>
      </c>
      <c r="R77" s="247" t="s">
        <v>268</v>
      </c>
      <c r="T77" s="77" t="s">
        <v>206</v>
      </c>
      <c r="U77" s="210">
        <f>IF(U73="Out of Range","Out of Range",NORMSDIST(U73))</f>
        <v>0.47254134493750422</v>
      </c>
      <c r="V77" s="682" t="s">
        <v>324</v>
      </c>
      <c r="W77" s="682"/>
      <c r="Z77" s="268" t="s">
        <v>342</v>
      </c>
      <c r="AA77" s="681">
        <f>$Q$79</f>
        <v>4.6415888336127775</v>
      </c>
      <c r="AB77" s="407">
        <v>9.0017841557279432</v>
      </c>
      <c r="AC77" s="407">
        <v>-2.681044369019097</v>
      </c>
      <c r="AD77" s="407">
        <v>-0.54254158982437761</v>
      </c>
      <c r="AE77" s="407">
        <v>0.14120763615270049</v>
      </c>
      <c r="AF77" s="407">
        <v>0.15764572675173941</v>
      </c>
      <c r="AG77" s="407">
        <v>4.1396881997005641E-3</v>
      </c>
      <c r="AH77" s="407">
        <v>-1.18E-2</v>
      </c>
      <c r="AI77" s="234">
        <v>0</v>
      </c>
      <c r="AJ77" s="235">
        <f>EXP(AB77+AC77*LN($AA$77)+AD77*(LN($AA$77))^2+AE77*(LN($AA$77))^3+AF77*(LN($AA$77))^4+AG77*(LN($AA$77))^5+AH77*(LN($AA$77))^6+AI77*(LN($AA$77))^7)</f>
        <v>130.94790085189121</v>
      </c>
      <c r="AK77" s="236">
        <v>0.06</v>
      </c>
      <c r="AL77" s="237">
        <v>2</v>
      </c>
      <c r="AM77" s="563">
        <f>IF(OR($AA$77&lt;AK77,$AA$77&gt;AL79),"Out of Range",INDEX(AJ77:AJ79,MATCH(AA77,AK77:AK79,1)))</f>
        <v>117.63505483326347</v>
      </c>
      <c r="AN77" s="564"/>
    </row>
    <row r="78" spans="2:40" ht="18.600000000000001" x14ac:dyDescent="0.3">
      <c r="P78" s="221" t="s">
        <v>499</v>
      </c>
      <c r="R78" s="247"/>
      <c r="T78" s="77" t="s">
        <v>207</v>
      </c>
      <c r="U78" s="210">
        <f>IF(U74="Out of Range","Out of Range",NORMSDIST(U74))</f>
        <v>0.16451040124497643</v>
      </c>
      <c r="V78" s="682"/>
      <c r="W78" s="682"/>
      <c r="Z78" s="270" t="s">
        <v>344</v>
      </c>
      <c r="AA78" s="558"/>
      <c r="AB78" s="407">
        <v>8.9440176893506163</v>
      </c>
      <c r="AC78" s="407">
        <v>-2.1452439360490629</v>
      </c>
      <c r="AD78" s="407">
        <v>-2.058219085783664</v>
      </c>
      <c r="AE78" s="407">
        <v>1.8988474785341825</v>
      </c>
      <c r="AF78" s="407">
        <v>-0.68439403881321925</v>
      </c>
      <c r="AG78" s="407">
        <v>0.11794603297980935</v>
      </c>
      <c r="AH78" s="407">
        <v>-8.1810000000000008E-3</v>
      </c>
      <c r="AI78" s="241">
        <v>0</v>
      </c>
      <c r="AJ78" s="97">
        <f>EXP(AB78+AC78*LN($AA$77)+AD78*(LN($AA$77))^2+AE78*(LN($AA$77))^3+AF78*(LN($AA$77))^4+AG78*(LN($AA$77))^5+AH78*(LN($AA$77))^6+AI78*(LN($AA$77))^7)</f>
        <v>117.63505483326347</v>
      </c>
      <c r="AK78" s="92">
        <v>2</v>
      </c>
      <c r="AL78" s="195">
        <v>40</v>
      </c>
      <c r="AM78" s="565"/>
      <c r="AN78" s="566"/>
    </row>
    <row r="79" spans="2:40" ht="20.25" customHeight="1" thickBot="1" x14ac:dyDescent="0.45">
      <c r="P79" s="54" t="s">
        <v>500</v>
      </c>
      <c r="Q79" s="109">
        <f>Q76/Q59^(1/3)</f>
        <v>4.6415888336127775</v>
      </c>
      <c r="R79" s="247" t="s">
        <v>269</v>
      </c>
      <c r="T79" s="77" t="s">
        <v>208</v>
      </c>
      <c r="U79" s="210">
        <f>IF(U75="Out of Range","Out of Range",NORMSDIST(U75))</f>
        <v>3.4161628719730519E-3</v>
      </c>
      <c r="V79" s="682"/>
      <c r="W79" s="682"/>
      <c r="Z79" s="242" t="s">
        <v>487</v>
      </c>
      <c r="AA79" s="559"/>
      <c r="AB79" s="569" t="s">
        <v>410</v>
      </c>
      <c r="AC79" s="570"/>
      <c r="AD79" s="570"/>
      <c r="AE79" s="570"/>
      <c r="AF79" s="570"/>
      <c r="AG79" s="570"/>
      <c r="AH79" s="570"/>
      <c r="AI79" s="571"/>
      <c r="AJ79" s="174">
        <f>2*Q83</f>
        <v>98.62312271449818</v>
      </c>
      <c r="AK79" s="81">
        <v>40</v>
      </c>
      <c r="AL79" s="214">
        <v>198.5</v>
      </c>
      <c r="AM79" s="567"/>
      <c r="AN79" s="568"/>
    </row>
    <row r="80" spans="2:40" ht="19.8" x14ac:dyDescent="0.4">
      <c r="P80" s="54" t="s">
        <v>501</v>
      </c>
      <c r="Q80" s="109">
        <f>Q76/Q63^(1/3)</f>
        <v>4.6415888336127775</v>
      </c>
      <c r="R80" s="247" t="s">
        <v>270</v>
      </c>
      <c r="Z80" s="243"/>
      <c r="AA80" s="243"/>
      <c r="AB80" s="243"/>
      <c r="AC80" s="243"/>
      <c r="AD80" s="243"/>
      <c r="AE80" s="243"/>
      <c r="AF80" s="243"/>
      <c r="AG80" s="243"/>
      <c r="AH80" s="53"/>
      <c r="AI80" s="53"/>
    </row>
    <row r="81" spans="15:40" ht="18.600000000000001" thickBot="1" x14ac:dyDescent="0.35">
      <c r="P81" s="221" t="s">
        <v>244</v>
      </c>
      <c r="R81" s="247"/>
      <c r="S81" s="193" t="s">
        <v>209</v>
      </c>
      <c r="Z81" s="61" t="s">
        <v>391</v>
      </c>
      <c r="AA81" s="53"/>
      <c r="AB81" s="53"/>
      <c r="AC81" s="53"/>
      <c r="AD81" s="53"/>
      <c r="AE81" s="53"/>
      <c r="AF81" s="53"/>
      <c r="AG81" s="53"/>
      <c r="AH81" s="53"/>
      <c r="AI81" s="53"/>
    </row>
    <row r="82" spans="15:40" ht="20.399999999999999" thickBot="1" x14ac:dyDescent="0.45">
      <c r="P82" s="54" t="s">
        <v>193</v>
      </c>
      <c r="Q82" s="282">
        <f>IF(AM61="out of range",AM61,AM61*Q59^(1/3))</f>
        <v>158.02100971019939</v>
      </c>
      <c r="R82" s="247" t="s">
        <v>297</v>
      </c>
      <c r="T82" s="53" t="s">
        <v>210</v>
      </c>
      <c r="U82" s="210">
        <f>IF(OR(Psos="Out of Range",Q89="Out of Range"),0.00001,(Q83+Q89)*0.01)</f>
        <v>0.57697369106825724</v>
      </c>
      <c r="V82" s="54" t="s">
        <v>325</v>
      </c>
      <c r="Z82" s="572" t="s">
        <v>384</v>
      </c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4"/>
    </row>
    <row r="83" spans="15:40" ht="20.25" customHeight="1" thickBot="1" x14ac:dyDescent="0.45">
      <c r="P83" s="54" t="s">
        <v>502</v>
      </c>
      <c r="Q83" s="282">
        <f>AM69</f>
        <v>49.31156135724909</v>
      </c>
      <c r="R83" s="247" t="s">
        <v>298</v>
      </c>
      <c r="T83" s="53" t="s">
        <v>211</v>
      </c>
      <c r="U83" s="210">
        <f>IF(Q87="Out of Range","Out of Range",Q87*0.001*0.7673)</f>
        <v>1.0486425372825157</v>
      </c>
      <c r="V83" s="54" t="s">
        <v>326</v>
      </c>
      <c r="Z83" s="542" t="s">
        <v>330</v>
      </c>
      <c r="AA83" s="544" t="s">
        <v>411</v>
      </c>
      <c r="AB83" s="546" t="s">
        <v>376</v>
      </c>
      <c r="AC83" s="547"/>
      <c r="AD83" s="547"/>
      <c r="AE83" s="547"/>
      <c r="AF83" s="547"/>
      <c r="AG83" s="547"/>
      <c r="AH83" s="547"/>
      <c r="AI83" s="548"/>
      <c r="AJ83" s="549" t="s">
        <v>397</v>
      </c>
      <c r="AK83" s="551" t="s">
        <v>267</v>
      </c>
      <c r="AL83" s="552"/>
      <c r="AM83" s="553" t="s">
        <v>399</v>
      </c>
      <c r="AN83" s="554"/>
    </row>
    <row r="84" spans="15:40" ht="18.600000000000001" thickBot="1" x14ac:dyDescent="0.45">
      <c r="P84" s="54" t="s">
        <v>195</v>
      </c>
      <c r="Q84" s="210">
        <f>IF(Q83="Out of Range","Out of Range",20*LOG10(Q83*1000)+93.9794)</f>
        <v>187.83837507723086</v>
      </c>
      <c r="R84" s="247" t="s">
        <v>299</v>
      </c>
      <c r="T84" s="54" t="s">
        <v>212</v>
      </c>
      <c r="U84" s="210">
        <f>IF(OR(U82="Out of Range",U83="Out of Range"),"Out of Range",4.2/U82+1.3/U83)</f>
        <v>8.5190593194229596</v>
      </c>
      <c r="V84" s="54" t="s">
        <v>327</v>
      </c>
      <c r="Z84" s="543"/>
      <c r="AA84" s="545"/>
      <c r="AB84" s="228" t="s">
        <v>87</v>
      </c>
      <c r="AC84" s="229" t="s">
        <v>88</v>
      </c>
      <c r="AD84" s="229" t="s">
        <v>89</v>
      </c>
      <c r="AE84" s="229" t="s">
        <v>37</v>
      </c>
      <c r="AF84" s="229" t="s">
        <v>90</v>
      </c>
      <c r="AG84" s="229" t="s">
        <v>91</v>
      </c>
      <c r="AH84" s="229" t="s">
        <v>92</v>
      </c>
      <c r="AI84" s="230" t="s">
        <v>93</v>
      </c>
      <c r="AJ84" s="550"/>
      <c r="AK84" s="81" t="s">
        <v>261</v>
      </c>
      <c r="AL84" s="81" t="s">
        <v>262</v>
      </c>
      <c r="AM84" s="555"/>
      <c r="AN84" s="556"/>
    </row>
    <row r="85" spans="15:40" ht="18.600000000000001" thickTop="1" x14ac:dyDescent="0.4">
      <c r="P85" s="85" t="s">
        <v>503</v>
      </c>
      <c r="Q85" s="210">
        <f>AM77</f>
        <v>117.63505483326347</v>
      </c>
      <c r="R85" s="247" t="s">
        <v>300</v>
      </c>
      <c r="T85" s="54" t="s">
        <v>213</v>
      </c>
      <c r="U85" s="210">
        <f>IF(U84="Out of Range","Out of Range",-5.74*LN(U84))</f>
        <v>-12.296836016544836</v>
      </c>
      <c r="V85" s="54" t="s">
        <v>328</v>
      </c>
      <c r="Z85" s="271" t="s">
        <v>346</v>
      </c>
      <c r="AA85" s="681">
        <f>$Q$80</f>
        <v>4.6415888336127775</v>
      </c>
      <c r="AB85" s="407">
        <v>0.55208283634845057</v>
      </c>
      <c r="AC85" s="407">
        <v>3.4367965803807197</v>
      </c>
      <c r="AD85" s="407">
        <v>-0.62621407030401688</v>
      </c>
      <c r="AE85" s="407">
        <v>-4.2860886726075345</v>
      </c>
      <c r="AF85" s="407">
        <v>-2.868455252442236</v>
      </c>
      <c r="AG85" s="407">
        <v>-0.60799999999999998</v>
      </c>
      <c r="AH85" s="273">
        <v>0</v>
      </c>
      <c r="AI85" s="274">
        <v>0</v>
      </c>
      <c r="AJ85" s="275">
        <f>EXP(AB85+AC85*LN($AA$85)+AD85*(LN($AA$85))^2+AE85*(LN($AA$85))^3+AF85*(LN($AA$85))^4+AG85*(LN($AA$85))^5+AH85*(LN($AA$85))^6+AI85*(LN($AA$85))^7)</f>
        <v>9.7521522340974178E-15</v>
      </c>
      <c r="AK85" s="276">
        <v>0.2</v>
      </c>
      <c r="AL85" s="277">
        <v>1.02</v>
      </c>
      <c r="AM85" s="563">
        <f>IF(OR($AA$85&lt;AK85,$AA$85&gt;AL88),"Out of Range",INDEX(AJ85:AJ88,MATCH(AA85,AK85:AK88,1)))</f>
        <v>3.6756103563465587</v>
      </c>
      <c r="AN85" s="564"/>
    </row>
    <row r="86" spans="15:40" ht="19.5" customHeight="1" x14ac:dyDescent="0.4">
      <c r="P86" s="54" t="s">
        <v>197</v>
      </c>
      <c r="Q86" s="282">
        <f>IF(AM85="out of range",AM85,AM85*Q63^(1/3))</f>
        <v>79.188624587534818</v>
      </c>
      <c r="R86" s="247" t="s">
        <v>301</v>
      </c>
      <c r="T86" s="54" t="s">
        <v>214</v>
      </c>
      <c r="U86" s="210">
        <f>IF(U85="Out of Range","Out of Range",NORMSDIST(U85))</f>
        <v>4.7095973810586377E-35</v>
      </c>
      <c r="V86" s="682" t="s">
        <v>329</v>
      </c>
      <c r="W86" s="682"/>
      <c r="Z86" s="270" t="s">
        <v>348</v>
      </c>
      <c r="AA86" s="558"/>
      <c r="AB86" s="407">
        <v>0.55250355749184621</v>
      </c>
      <c r="AC86" s="407">
        <v>2.3238008395847967</v>
      </c>
      <c r="AD86" s="407">
        <v>-7.3436448164269787</v>
      </c>
      <c r="AE86" s="407">
        <v>8.7700519029595441</v>
      </c>
      <c r="AF86" s="407">
        <v>-4.2495860936211844</v>
      </c>
      <c r="AG86" s="407">
        <v>0.88170000000000004</v>
      </c>
      <c r="AH86" s="233">
        <v>0</v>
      </c>
      <c r="AI86" s="234">
        <v>0</v>
      </c>
      <c r="AJ86" s="97">
        <f>EXP(AB86+AC86*LN($AA$85)+AD86*(LN($AA$85))^2+AE86*(LN($AA$85))^3+AF86*(LN($AA$85))^4+AG86*(LN($AA$85))^5+AH86*(LN($AA$85))^6+AI86*(LN($AA$85))^7)</f>
        <v>11.671118424273475</v>
      </c>
      <c r="AK86" s="92">
        <v>1.02</v>
      </c>
      <c r="AL86" s="195">
        <v>2.8</v>
      </c>
      <c r="AM86" s="565"/>
      <c r="AN86" s="566"/>
    </row>
    <row r="87" spans="15:40" ht="18" x14ac:dyDescent="0.4">
      <c r="P87" s="54" t="s">
        <v>504</v>
      </c>
      <c r="Q87" s="282">
        <f>IF(AM96="out of range",AM96,AM96*Q63^(1/3))</f>
        <v>1366.6656291965537</v>
      </c>
      <c r="R87" s="247" t="s">
        <v>302</v>
      </c>
      <c r="V87" s="682"/>
      <c r="W87" s="682"/>
      <c r="Z87" s="270" t="s">
        <v>350</v>
      </c>
      <c r="AA87" s="558"/>
      <c r="AB87" s="408">
        <v>-1.9141045701928256</v>
      </c>
      <c r="AC87" s="407">
        <v>5.8645406416937282</v>
      </c>
      <c r="AD87" s="407">
        <v>-4.4445111325746618</v>
      </c>
      <c r="AE87" s="409">
        <v>1.7609019301208806</v>
      </c>
      <c r="AF87" s="407">
        <v>-0.343395015420914</v>
      </c>
      <c r="AG87" s="407">
        <v>2.6239999999999999E-2</v>
      </c>
      <c r="AH87" s="233">
        <v>0</v>
      </c>
      <c r="AI87" s="234">
        <v>0</v>
      </c>
      <c r="AJ87" s="97">
        <f>EXP(AB87+AC87*LN($AA$85)+AD87*(LN($AA$85))^2+AE87*(LN($AA$85))^3+AF87*(LN($AA$85))^4+AG87*(LN($AA$85))^5+AH87*(LN($AA$85))^6+AI87*(LN($AA$85))^7)</f>
        <v>3.6756103563465587</v>
      </c>
      <c r="AK87" s="92">
        <v>2.8</v>
      </c>
      <c r="AL87" s="195">
        <v>40</v>
      </c>
      <c r="AM87" s="565"/>
      <c r="AN87" s="566"/>
    </row>
    <row r="88" spans="15:40" ht="18.600000000000001" thickBot="1" x14ac:dyDescent="0.45">
      <c r="P88" s="54" t="s">
        <v>505</v>
      </c>
      <c r="Q88" s="282">
        <f>IF(AM105="out of range",AM105,AM105*Q63^(1/3))</f>
        <v>2939.3873235593283</v>
      </c>
      <c r="R88" s="247" t="s">
        <v>303</v>
      </c>
      <c r="V88" s="682"/>
      <c r="W88" s="682"/>
      <c r="Z88" s="279" t="s">
        <v>352</v>
      </c>
      <c r="AA88" s="559"/>
      <c r="AB88" s="280">
        <v>0.66759999999999997</v>
      </c>
      <c r="AC88" s="281">
        <v>0.45860000000000001</v>
      </c>
      <c r="AD88" s="281">
        <v>-2.8899999999999999E-2</v>
      </c>
      <c r="AE88" s="577" t="s">
        <v>412</v>
      </c>
      <c r="AF88" s="578"/>
      <c r="AG88" s="578"/>
      <c r="AH88" s="578"/>
      <c r="AI88" s="579"/>
      <c r="AJ88" s="174">
        <f>1.0029*EXP(AB88+AC88*LN($AA$85)+AD88*(LN($AA$85))^2)</f>
        <v>3.6927553367957766</v>
      </c>
      <c r="AK88" s="81">
        <v>40</v>
      </c>
      <c r="AL88" s="214">
        <v>198.5</v>
      </c>
      <c r="AM88" s="575"/>
      <c r="AN88" s="576"/>
    </row>
    <row r="89" spans="15:40" ht="18" x14ac:dyDescent="0.4">
      <c r="P89" s="54" t="s">
        <v>506</v>
      </c>
      <c r="Q89" s="210">
        <f>AM111</f>
        <v>8.385807749576637</v>
      </c>
      <c r="R89" s="247" t="s">
        <v>304</v>
      </c>
      <c r="Z89" s="53" t="s">
        <v>353</v>
      </c>
      <c r="AA89" s="243"/>
      <c r="AB89" s="243"/>
      <c r="AC89" s="243"/>
      <c r="AD89" s="243"/>
      <c r="AE89" s="243"/>
      <c r="AF89" s="243"/>
      <c r="AG89" s="243"/>
      <c r="AH89" s="243"/>
      <c r="AI89" s="53"/>
    </row>
    <row r="90" spans="15:40" ht="18" x14ac:dyDescent="0.4">
      <c r="P90" s="54" t="s">
        <v>514</v>
      </c>
      <c r="Q90" s="282">
        <f>IF(AM118="out of range",AM118,AM118*Q63^(1/3))</f>
        <v>161.8827004513237</v>
      </c>
      <c r="R90" s="247" t="s">
        <v>305</v>
      </c>
      <c r="U90" s="210"/>
      <c r="Z90" s="53" t="s">
        <v>354</v>
      </c>
      <c r="AA90" s="243"/>
      <c r="AB90" s="243"/>
      <c r="AC90" s="243"/>
      <c r="AD90" s="243"/>
      <c r="AE90" s="243"/>
      <c r="AF90" s="243"/>
      <c r="AG90" s="243"/>
      <c r="AH90" s="243"/>
      <c r="AI90" s="53"/>
    </row>
    <row r="91" spans="15:40" x14ac:dyDescent="0.3">
      <c r="R91" s="85"/>
      <c r="Z91" s="53"/>
      <c r="AA91" s="243"/>
      <c r="AB91" s="243"/>
      <c r="AC91" s="243"/>
      <c r="AD91" s="243"/>
      <c r="AE91" s="243"/>
      <c r="AF91" s="243"/>
      <c r="AG91" s="243"/>
      <c r="AH91" s="243"/>
      <c r="AI91" s="53"/>
    </row>
    <row r="92" spans="15:40" ht="18.600000000000001" thickBot="1" x14ac:dyDescent="0.35">
      <c r="O92" s="111" t="s">
        <v>216</v>
      </c>
      <c r="Z92" s="61" t="s">
        <v>392</v>
      </c>
      <c r="AA92" s="243"/>
      <c r="AB92" s="243"/>
      <c r="AC92" s="243"/>
      <c r="AD92" s="243"/>
      <c r="AE92" s="243"/>
      <c r="AF92" s="243"/>
      <c r="AG92" s="243"/>
      <c r="AH92" s="243"/>
      <c r="AI92" s="53"/>
    </row>
    <row r="93" spans="15:40" ht="20.399999999999999" thickBot="1" x14ac:dyDescent="0.45">
      <c r="P93" s="285" t="s">
        <v>215</v>
      </c>
      <c r="R93" s="286" t="s">
        <v>528</v>
      </c>
      <c r="S93" s="77"/>
      <c r="Z93" s="572" t="s">
        <v>385</v>
      </c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4"/>
    </row>
    <row r="94" spans="15:40" ht="19.2" thickBot="1" x14ac:dyDescent="0.35">
      <c r="P94" s="54" t="s">
        <v>527</v>
      </c>
      <c r="R94" s="191" t="str">
        <f xml:space="preserve"> INDEX(R101:R111,Q23)</f>
        <v/>
      </c>
      <c r="S94" s="77"/>
      <c r="Z94" s="542" t="s">
        <v>330</v>
      </c>
      <c r="AA94" s="544" t="s">
        <v>411</v>
      </c>
      <c r="AB94" s="546" t="s">
        <v>377</v>
      </c>
      <c r="AC94" s="547"/>
      <c r="AD94" s="547"/>
      <c r="AE94" s="547"/>
      <c r="AF94" s="547"/>
      <c r="AG94" s="547"/>
      <c r="AH94" s="547"/>
      <c r="AI94" s="548"/>
      <c r="AJ94" s="549" t="s">
        <v>397</v>
      </c>
      <c r="AK94" s="551" t="s">
        <v>267</v>
      </c>
      <c r="AL94" s="552"/>
      <c r="AM94" s="553" t="s">
        <v>399</v>
      </c>
      <c r="AN94" s="554"/>
    </row>
    <row r="95" spans="15:40" ht="19.5" customHeight="1" thickBot="1" x14ac:dyDescent="0.35">
      <c r="P95" s="54" t="s">
        <v>529</v>
      </c>
      <c r="Q95" s="178"/>
      <c r="R95" s="85" t="str">
        <f>IF(OR($Q$23=2,$Q$23=3),"If HPM is Present, NEW must be less than 27,211 kg","")</f>
        <v/>
      </c>
      <c r="S95" s="77"/>
      <c r="Z95" s="543"/>
      <c r="AA95" s="545"/>
      <c r="AB95" s="228" t="s">
        <v>87</v>
      </c>
      <c r="AC95" s="229" t="s">
        <v>88</v>
      </c>
      <c r="AD95" s="229" t="s">
        <v>89</v>
      </c>
      <c r="AE95" s="229" t="s">
        <v>37</v>
      </c>
      <c r="AF95" s="229" t="s">
        <v>90</v>
      </c>
      <c r="AG95" s="229" t="s">
        <v>91</v>
      </c>
      <c r="AH95" s="229" t="s">
        <v>92</v>
      </c>
      <c r="AI95" s="230" t="s">
        <v>93</v>
      </c>
      <c r="AJ95" s="550"/>
      <c r="AK95" s="81" t="s">
        <v>261</v>
      </c>
      <c r="AL95" s="81" t="s">
        <v>262</v>
      </c>
      <c r="AM95" s="555"/>
      <c r="AN95" s="556"/>
    </row>
    <row r="96" spans="15:40" ht="16.2" thickTop="1" x14ac:dyDescent="0.3">
      <c r="P96" s="54" t="s">
        <v>530</v>
      </c>
      <c r="Q96" s="178"/>
      <c r="R96" s="85" t="str">
        <f>IF(Q23=1,INDEX(T131:T139,Q24),INDEX(T117:T127,Q23))</f>
        <v/>
      </c>
      <c r="S96" s="77"/>
      <c r="Z96" s="271" t="s">
        <v>356</v>
      </c>
      <c r="AA96" s="681">
        <f>$Q$80</f>
        <v>4.6415888336127775</v>
      </c>
      <c r="AB96" s="410">
        <v>5.521809164058312</v>
      </c>
      <c r="AC96" s="411">
        <v>1.1166275426514254</v>
      </c>
      <c r="AD96" s="411">
        <v>0.59998086099010961</v>
      </c>
      <c r="AE96" s="411">
        <v>-0.29175407495062433</v>
      </c>
      <c r="AF96" s="411">
        <v>-8.6999999999999994E-2</v>
      </c>
      <c r="AG96" s="273">
        <v>0</v>
      </c>
      <c r="AH96" s="273">
        <v>0</v>
      </c>
      <c r="AI96" s="274">
        <v>0</v>
      </c>
      <c r="AJ96" s="275">
        <f>EXP(AB96+AC96*LN($AA$96)+AD96*(LN($AA$96))^2+AE96*(LN($AA$96))^3+AF96*(LN($AA$96))^4+AG96*(LN($AA$96))^5+AH96*(LN($AA$96))^6+AI96*(LN($AA$96))^7)</f>
        <v>1225.7127634190285</v>
      </c>
      <c r="AK96" s="276">
        <v>0.2</v>
      </c>
      <c r="AL96" s="277">
        <v>0.96</v>
      </c>
      <c r="AM96" s="563">
        <f>IF(OR($AA$96&lt;AK96,$AA$96&gt;AL99),"Out of Range",INDEX(AJ96:AJ99,MATCH(AA96,AK96:AK99,1)))</f>
        <v>63.434999237611045</v>
      </c>
      <c r="AN96" s="564"/>
    </row>
    <row r="97" spans="16:40" ht="16.5" customHeight="1" x14ac:dyDescent="0.3">
      <c r="Q97" s="178"/>
      <c r="R97" s="85"/>
      <c r="S97" s="77"/>
      <c r="Z97" s="270" t="s">
        <v>358</v>
      </c>
      <c r="AA97" s="558"/>
      <c r="AB97" s="412">
        <v>5.46526817015795</v>
      </c>
      <c r="AC97" s="413">
        <v>-0.30760352160717841</v>
      </c>
      <c r="AD97" s="413">
        <v>-1.4644933139257752</v>
      </c>
      <c r="AE97" s="413">
        <v>1.3623245933486237</v>
      </c>
      <c r="AF97" s="413">
        <v>-0.432</v>
      </c>
      <c r="AG97" s="233">
        <v>0</v>
      </c>
      <c r="AH97" s="233">
        <v>0</v>
      </c>
      <c r="AI97" s="234">
        <v>0</v>
      </c>
      <c r="AJ97" s="97">
        <f>EXP(AB97+AC97*LN($AA$96)+AD97*(LN($AA$96))^2+AE97*(LN($AA$96))^3+AF97*(LN($AA$96))^4+AG97*(LN($AA$96))^5+AH97*(LN($AA$96))^6+AI97*(LN($AA$96))^7)</f>
        <v>58.628866271388482</v>
      </c>
      <c r="AK97" s="92">
        <v>0.96</v>
      </c>
      <c r="AL97" s="195">
        <v>2.38</v>
      </c>
      <c r="AM97" s="565"/>
      <c r="AN97" s="566"/>
    </row>
    <row r="98" spans="16:40" x14ac:dyDescent="0.3">
      <c r="Q98" s="178"/>
      <c r="R98" s="178"/>
      <c r="Z98" s="270" t="s">
        <v>360</v>
      </c>
      <c r="AA98" s="558"/>
      <c r="AB98" s="412">
        <v>5.2748202033584572</v>
      </c>
      <c r="AC98" s="413">
        <v>-0.46743573416173367</v>
      </c>
      <c r="AD98" s="413">
        <v>-0.25005745226498782</v>
      </c>
      <c r="AE98" s="413">
        <v>5.8811292238776333E-2</v>
      </c>
      <c r="AF98" s="413">
        <v>-5.5399999999999998E-3</v>
      </c>
      <c r="AG98" s="233">
        <v>0</v>
      </c>
      <c r="AH98" s="233">
        <v>0</v>
      </c>
      <c r="AI98" s="234">
        <v>0</v>
      </c>
      <c r="AJ98" s="97">
        <f>EXP(AB98+AC98*LN($AA$96)+AD98*(LN($AA$96))^2+AE98*(LN($AA$96))^3+AF98*(LN($AA$96))^4+AG98*(LN($AA$96))^5+AH98*(LN($AA$96))^6+AI98*(LN($AA$96))^7)</f>
        <v>63.434999237611045</v>
      </c>
      <c r="AK98" s="92">
        <v>2.38</v>
      </c>
      <c r="AL98" s="195">
        <v>33.700000000000003</v>
      </c>
      <c r="AM98" s="565"/>
      <c r="AN98" s="566"/>
    </row>
    <row r="99" spans="16:40" ht="16.2" thickBot="1" x14ac:dyDescent="0.35">
      <c r="P99" s="193" t="s">
        <v>527</v>
      </c>
      <c r="U99" s="178"/>
      <c r="V99" s="178"/>
      <c r="Z99" s="279" t="s">
        <v>362</v>
      </c>
      <c r="AA99" s="559"/>
      <c r="AB99" s="414">
        <v>5.9826045436951993</v>
      </c>
      <c r="AC99" s="415">
        <v>-1.0620000000000001</v>
      </c>
      <c r="AD99" s="416">
        <v>0</v>
      </c>
      <c r="AE99" s="417">
        <v>0</v>
      </c>
      <c r="AF99" s="417">
        <v>0</v>
      </c>
      <c r="AG99" s="260">
        <v>0</v>
      </c>
      <c r="AH99" s="260">
        <v>0</v>
      </c>
      <c r="AI99" s="261">
        <v>0</v>
      </c>
      <c r="AJ99" s="174">
        <f>EXP(AB99+AC99*LN($AA$96)+AD99*(LN($AA$96))^2+AE99*(LN($AA$96))^3+AF99*(LN($AA$96))^4+AG99*(LN($AA$96))^5+AH99*(LN($AA$96))^6+AI99*(LN($AA$96))^7)</f>
        <v>77.662638430858266</v>
      </c>
      <c r="AK99" s="81">
        <v>33.700000000000003</v>
      </c>
      <c r="AL99" s="214">
        <v>396.7</v>
      </c>
      <c r="AM99" s="575"/>
      <c r="AN99" s="576"/>
    </row>
    <row r="100" spans="16:40" x14ac:dyDescent="0.3">
      <c r="P100" s="74" t="s">
        <v>108</v>
      </c>
      <c r="Q100" s="193" t="s">
        <v>540</v>
      </c>
      <c r="R100" s="288" t="s">
        <v>535</v>
      </c>
      <c r="U100" s="178"/>
      <c r="V100" s="178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53"/>
    </row>
    <row r="101" spans="16:40" ht="19.5" customHeight="1" thickBot="1" x14ac:dyDescent="0.35">
      <c r="P101" s="53" t="s">
        <v>56</v>
      </c>
      <c r="Q101" s="212">
        <v>2267962</v>
      </c>
      <c r="R101" s="54" t="str">
        <f t="shared" ref="R101:R111" si="8">IF($E$21&gt;Q101,"Out of Range (Total NEW must be less than "&amp;TEXT(Q101,"###,###,###")&amp;" lbs)","")</f>
        <v/>
      </c>
      <c r="T101" s="212"/>
      <c r="U101" s="178"/>
      <c r="V101" s="178"/>
      <c r="Z101" s="61" t="s">
        <v>413</v>
      </c>
      <c r="AA101" s="243"/>
      <c r="AB101" s="243"/>
      <c r="AC101" s="243"/>
      <c r="AD101" s="243"/>
      <c r="AE101" s="243"/>
      <c r="AF101" s="243"/>
      <c r="AG101" s="243"/>
      <c r="AH101" s="243"/>
      <c r="AI101" s="53"/>
    </row>
    <row r="102" spans="16:40" ht="20.399999999999999" thickBot="1" x14ac:dyDescent="0.45">
      <c r="P102" s="53" t="s">
        <v>72</v>
      </c>
      <c r="Q102" s="212">
        <v>226796</v>
      </c>
      <c r="R102" s="54" t="str">
        <f t="shared" si="8"/>
        <v/>
      </c>
      <c r="T102" s="212"/>
      <c r="U102" s="178"/>
      <c r="V102" s="178"/>
      <c r="Z102" s="572" t="s">
        <v>386</v>
      </c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4"/>
    </row>
    <row r="103" spans="16:40" ht="19.2" thickBot="1" x14ac:dyDescent="0.35">
      <c r="P103" s="53" t="s">
        <v>73</v>
      </c>
      <c r="Q103" s="212">
        <v>226796</v>
      </c>
      <c r="R103" s="54" t="str">
        <f t="shared" si="8"/>
        <v/>
      </c>
      <c r="T103" s="212"/>
      <c r="U103" s="178"/>
      <c r="V103" s="178"/>
      <c r="Z103" s="542" t="s">
        <v>330</v>
      </c>
      <c r="AA103" s="544" t="s">
        <v>411</v>
      </c>
      <c r="AB103" s="546" t="s">
        <v>378</v>
      </c>
      <c r="AC103" s="547"/>
      <c r="AD103" s="547"/>
      <c r="AE103" s="547"/>
      <c r="AF103" s="547"/>
      <c r="AG103" s="547"/>
      <c r="AH103" s="547"/>
      <c r="AI103" s="548"/>
      <c r="AJ103" s="549" t="s">
        <v>397</v>
      </c>
      <c r="AK103" s="551" t="s">
        <v>267</v>
      </c>
      <c r="AL103" s="552"/>
      <c r="AM103" s="553" t="s">
        <v>399</v>
      </c>
      <c r="AN103" s="554"/>
    </row>
    <row r="104" spans="16:40" ht="16.2" thickBot="1" x14ac:dyDescent="0.35">
      <c r="P104" s="53" t="s">
        <v>39</v>
      </c>
      <c r="Q104" s="212">
        <v>226796</v>
      </c>
      <c r="R104" s="54" t="str">
        <f t="shared" si="8"/>
        <v/>
      </c>
      <c r="T104" s="212"/>
      <c r="U104" s="178"/>
      <c r="V104" s="178"/>
      <c r="Z104" s="543"/>
      <c r="AA104" s="545"/>
      <c r="AB104" s="228" t="s">
        <v>87</v>
      </c>
      <c r="AC104" s="229" t="s">
        <v>88</v>
      </c>
      <c r="AD104" s="229" t="s">
        <v>89</v>
      </c>
      <c r="AE104" s="229" t="s">
        <v>37</v>
      </c>
      <c r="AF104" s="229" t="s">
        <v>90</v>
      </c>
      <c r="AG104" s="229" t="s">
        <v>91</v>
      </c>
      <c r="AH104" s="229" t="s">
        <v>92</v>
      </c>
      <c r="AI104" s="230" t="s">
        <v>93</v>
      </c>
      <c r="AJ104" s="550"/>
      <c r="AK104" s="81" t="s">
        <v>261</v>
      </c>
      <c r="AL104" s="81" t="s">
        <v>262</v>
      </c>
      <c r="AM104" s="555"/>
      <c r="AN104" s="556"/>
    </row>
    <row r="105" spans="16:40" ht="16.8" thickTop="1" thickBot="1" x14ac:dyDescent="0.35">
      <c r="P105" s="53" t="s">
        <v>98</v>
      </c>
      <c r="Q105" s="212">
        <v>9072</v>
      </c>
      <c r="R105" s="54" t="str">
        <f t="shared" si="8"/>
        <v>Out of Range (Total NEW must be less than 9,072 lbs)</v>
      </c>
      <c r="T105" s="212"/>
      <c r="U105" s="178"/>
      <c r="V105" s="178"/>
      <c r="Z105" s="279" t="s">
        <v>364</v>
      </c>
      <c r="AA105" s="356">
        <f>$Q$80</f>
        <v>4.6415888336127775</v>
      </c>
      <c r="AB105" s="414">
        <v>6.7853644473413475</v>
      </c>
      <c r="AC105" s="415">
        <v>-1.3465407466148165</v>
      </c>
      <c r="AD105" s="415">
        <v>0.10105087705434905</v>
      </c>
      <c r="AE105" s="418">
        <v>-1.123E-2</v>
      </c>
      <c r="AF105" s="417">
        <v>0</v>
      </c>
      <c r="AG105" s="260">
        <v>0</v>
      </c>
      <c r="AH105" s="260">
        <v>0</v>
      </c>
      <c r="AI105" s="261">
        <v>0</v>
      </c>
      <c r="AJ105" s="174">
        <f>EXP(AB105+AC105*LN($AA$105)+AD105*(LN($AA$105))^2+AE105*(LN($AA$105))^3+AF105*(LN($AA$105))^4+AG105*(LN($AA$105))^5+AH105*(LN($AA$105))^6+AI105*(LN($AA$105))^7)</f>
        <v>136.43427378695927</v>
      </c>
      <c r="AK105" s="81">
        <v>0.06</v>
      </c>
      <c r="AL105" s="214">
        <v>238</v>
      </c>
      <c r="AM105" s="540">
        <f>IF(OR($AA$105&lt;AK105,$AA$105&gt;AL105),"Out of Range",AJ105)</f>
        <v>136.43427378695927</v>
      </c>
      <c r="AN105" s="541"/>
    </row>
    <row r="106" spans="16:40" x14ac:dyDescent="0.3">
      <c r="P106" s="53" t="s">
        <v>99</v>
      </c>
      <c r="Q106" s="212">
        <v>9072</v>
      </c>
      <c r="R106" s="54" t="str">
        <f t="shared" si="8"/>
        <v>Out of Range (Total NEW must be less than 9,072 lbs)</v>
      </c>
      <c r="T106" s="212"/>
      <c r="U106" s="178"/>
      <c r="V106" s="178"/>
      <c r="Z106" s="53"/>
      <c r="AA106" s="243"/>
      <c r="AB106" s="243"/>
      <c r="AC106" s="243"/>
      <c r="AD106" s="243"/>
      <c r="AE106" s="243"/>
      <c r="AF106" s="243"/>
      <c r="AG106" s="243"/>
      <c r="AH106" s="243"/>
      <c r="AI106" s="53"/>
    </row>
    <row r="107" spans="16:40" ht="16.2" thickBot="1" x14ac:dyDescent="0.35">
      <c r="P107" s="53" t="s">
        <v>100</v>
      </c>
      <c r="Q107" s="212">
        <v>9072</v>
      </c>
      <c r="R107" s="54" t="str">
        <f t="shared" si="8"/>
        <v>Out of Range (Total NEW must be less than 9,072 lbs)</v>
      </c>
      <c r="T107" s="212"/>
      <c r="U107" s="178"/>
      <c r="V107" s="178"/>
      <c r="Z107" s="61" t="s">
        <v>393</v>
      </c>
      <c r="AA107" s="53"/>
      <c r="AB107" s="53"/>
      <c r="AC107" s="53"/>
      <c r="AD107" s="53"/>
      <c r="AE107" s="53"/>
      <c r="AF107" s="53"/>
      <c r="AG107" s="53"/>
      <c r="AH107" s="53"/>
      <c r="AI107" s="53"/>
    </row>
    <row r="108" spans="16:40" ht="19.5" customHeight="1" thickBot="1" x14ac:dyDescent="0.45">
      <c r="P108" s="53" t="s">
        <v>581</v>
      </c>
      <c r="Q108" s="212">
        <v>90718</v>
      </c>
      <c r="R108" s="54" t="str">
        <f>IF($E$21&gt;Q108,"Out of Range (Total NEW must be less than "&amp;TEXT(Q108,"###,###,###")&amp;" lbs)","")</f>
        <v/>
      </c>
      <c r="T108" s="212"/>
      <c r="U108" s="381"/>
      <c r="V108" s="381"/>
      <c r="Z108" s="572" t="s">
        <v>387</v>
      </c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4"/>
    </row>
    <row r="109" spans="16:40" ht="18.600000000000001" thickBot="1" x14ac:dyDescent="0.35">
      <c r="P109" s="53" t="s">
        <v>582</v>
      </c>
      <c r="Q109" s="212">
        <v>90718</v>
      </c>
      <c r="R109" s="54" t="str">
        <f>IF($E$21&gt;Q109,"Out of Range (Total NEW must be less than "&amp;TEXT(Q109,"###,###,###")&amp;" lbs)","")</f>
        <v/>
      </c>
      <c r="T109" s="212"/>
      <c r="U109" s="381"/>
      <c r="V109" s="381"/>
      <c r="Z109" s="542" t="s">
        <v>330</v>
      </c>
      <c r="AA109" s="544" t="s">
        <v>408</v>
      </c>
      <c r="AB109" s="546" t="s">
        <v>379</v>
      </c>
      <c r="AC109" s="547"/>
      <c r="AD109" s="547"/>
      <c r="AE109" s="547"/>
      <c r="AF109" s="547"/>
      <c r="AG109" s="547"/>
      <c r="AH109" s="547"/>
      <c r="AI109" s="548"/>
      <c r="AJ109" s="549" t="s">
        <v>397</v>
      </c>
      <c r="AK109" s="551" t="s">
        <v>267</v>
      </c>
      <c r="AL109" s="552"/>
      <c r="AM109" s="553" t="s">
        <v>399</v>
      </c>
      <c r="AN109" s="554"/>
    </row>
    <row r="110" spans="16:40" ht="16.2" thickBot="1" x14ac:dyDescent="0.35">
      <c r="P110" s="121" t="s">
        <v>583</v>
      </c>
      <c r="Q110" s="212">
        <v>9072</v>
      </c>
      <c r="R110" s="54" t="str">
        <f>IF($E$21&gt;Q110,"Out of Range (Total NEW must be less than "&amp;TEXT(Q110,"###,###,###")&amp;" lbs)","")</f>
        <v>Out of Range (Total NEW must be less than 9,072 lbs)</v>
      </c>
      <c r="T110" s="212"/>
      <c r="Z110" s="543"/>
      <c r="AA110" s="545"/>
      <c r="AB110" s="228" t="s">
        <v>87</v>
      </c>
      <c r="AC110" s="229" t="s">
        <v>88</v>
      </c>
      <c r="AD110" s="229" t="s">
        <v>89</v>
      </c>
      <c r="AE110" s="229" t="s">
        <v>37</v>
      </c>
      <c r="AF110" s="229" t="s">
        <v>90</v>
      </c>
      <c r="AG110" s="229" t="s">
        <v>91</v>
      </c>
      <c r="AH110" s="229" t="s">
        <v>92</v>
      </c>
      <c r="AI110" s="230" t="s">
        <v>93</v>
      </c>
      <c r="AJ110" s="550"/>
      <c r="AK110" s="81" t="s">
        <v>261</v>
      </c>
      <c r="AL110" s="81" t="s">
        <v>262</v>
      </c>
      <c r="AM110" s="555"/>
      <c r="AN110" s="556"/>
    </row>
    <row r="111" spans="16:40" ht="16.8" thickTop="1" thickBot="1" x14ac:dyDescent="0.35">
      <c r="P111" s="54" t="s">
        <v>584</v>
      </c>
      <c r="Q111" s="212">
        <v>2267962</v>
      </c>
      <c r="R111" s="54" t="str">
        <f t="shared" si="8"/>
        <v/>
      </c>
      <c r="T111" s="212"/>
      <c r="Z111" s="279" t="s">
        <v>366</v>
      </c>
      <c r="AA111" s="356">
        <f>Q79</f>
        <v>4.6415888336127775</v>
      </c>
      <c r="AB111" s="280">
        <v>7.7268999999999997</v>
      </c>
      <c r="AC111" s="281">
        <v>-3.0792999999999999</v>
      </c>
      <c r="AD111" s="281">
        <v>-0.71009999999999995</v>
      </c>
      <c r="AE111" s="260">
        <v>0.1283</v>
      </c>
      <c r="AF111" s="260">
        <v>9.2700000000000005E-2</v>
      </c>
      <c r="AG111" s="260">
        <v>-2.1000000000000001E-2</v>
      </c>
      <c r="AH111" s="260">
        <v>0</v>
      </c>
      <c r="AI111" s="261">
        <v>0</v>
      </c>
      <c r="AJ111" s="174">
        <f>EXP(AB111+AC111*LN($AA$111)+AD111*(LN($AA$111))^2+AE111*(LN($AA$111))^3+AF111*(LN($AA$111))^4+AG111*(LN($AA$111))^5+AH111*(LN($AA$111))^6+AI111*(LN($AA$111))^7)</f>
        <v>8.385807749576637</v>
      </c>
      <c r="AK111" s="81">
        <v>0.2</v>
      </c>
      <c r="AL111" s="214">
        <v>59.5</v>
      </c>
      <c r="AM111" s="540">
        <f>IF(OR($AA$111&lt;AK111,$AA$111&gt;AL111),"Out of Range",AJ111)</f>
        <v>8.385807749576637</v>
      </c>
      <c r="AN111" s="541"/>
    </row>
    <row r="112" spans="16:40" x14ac:dyDescent="0.3">
      <c r="Z112" s="53" t="s">
        <v>367</v>
      </c>
      <c r="AA112" s="243"/>
      <c r="AB112" s="243"/>
      <c r="AC112" s="243"/>
      <c r="AD112" s="243"/>
      <c r="AE112" s="243"/>
      <c r="AF112" s="243"/>
      <c r="AG112" s="243"/>
      <c r="AH112" s="53"/>
      <c r="AI112" s="53"/>
    </row>
    <row r="113" spans="16:40" x14ac:dyDescent="0.3">
      <c r="Z113" s="243"/>
      <c r="AA113" s="243"/>
      <c r="AB113" s="243"/>
      <c r="AC113" s="243"/>
      <c r="AD113" s="243"/>
      <c r="AE113" s="243"/>
      <c r="AF113" s="243"/>
      <c r="AG113" s="243"/>
      <c r="AH113" s="53"/>
      <c r="AI113" s="53"/>
    </row>
    <row r="114" spans="16:40" ht="20.399999999999999" thickBot="1" x14ac:dyDescent="0.45">
      <c r="P114" s="193" t="s">
        <v>530</v>
      </c>
      <c r="R114" s="85" t="s">
        <v>536</v>
      </c>
      <c r="S114" s="109">
        <f>Q79</f>
        <v>4.6415888336127775</v>
      </c>
      <c r="Z114" s="61" t="s">
        <v>394</v>
      </c>
      <c r="AA114" s="243"/>
      <c r="AB114" s="243"/>
      <c r="AC114" s="243"/>
      <c r="AD114" s="243"/>
      <c r="AE114" s="243"/>
      <c r="AF114" s="243"/>
      <c r="AG114" s="243"/>
      <c r="AH114" s="53"/>
      <c r="AI114" s="53"/>
    </row>
    <row r="115" spans="16:40" ht="19.5" customHeight="1" thickBot="1" x14ac:dyDescent="0.45">
      <c r="Q115" s="634" t="s">
        <v>531</v>
      </c>
      <c r="R115" s="634"/>
      <c r="Z115" s="572" t="s">
        <v>380</v>
      </c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4"/>
    </row>
    <row r="116" spans="16:40" ht="19.2" thickBot="1" x14ac:dyDescent="0.35">
      <c r="P116" s="74" t="s">
        <v>534</v>
      </c>
      <c r="Q116" s="74" t="s">
        <v>532</v>
      </c>
      <c r="R116" s="74" t="s">
        <v>533</v>
      </c>
      <c r="T116" s="288" t="s">
        <v>535</v>
      </c>
      <c r="Z116" s="542" t="s">
        <v>330</v>
      </c>
      <c r="AA116" s="544" t="s">
        <v>411</v>
      </c>
      <c r="AB116" s="546" t="s">
        <v>381</v>
      </c>
      <c r="AC116" s="547"/>
      <c r="AD116" s="547"/>
      <c r="AE116" s="547"/>
      <c r="AF116" s="547"/>
      <c r="AG116" s="547"/>
      <c r="AH116" s="547"/>
      <c r="AI116" s="548"/>
      <c r="AJ116" s="549" t="s">
        <v>397</v>
      </c>
      <c r="AK116" s="551" t="s">
        <v>267</v>
      </c>
      <c r="AL116" s="552"/>
      <c r="AM116" s="553" t="s">
        <v>399</v>
      </c>
      <c r="AN116" s="554"/>
    </row>
    <row r="117" spans="16:40" ht="16.2" thickBot="1" x14ac:dyDescent="0.35">
      <c r="P117" s="53" t="s">
        <v>56</v>
      </c>
      <c r="Q117" s="511" t="s">
        <v>576</v>
      </c>
      <c r="R117" s="511"/>
      <c r="T117" s="53" t="str">
        <f>IF(Q23=1,"Error in Warning Display Programming")</f>
        <v>Error in Warning Display Programming</v>
      </c>
      <c r="Z117" s="543"/>
      <c r="AA117" s="545"/>
      <c r="AB117" s="228" t="s">
        <v>87</v>
      </c>
      <c r="AC117" s="229" t="s">
        <v>88</v>
      </c>
      <c r="AD117" s="229" t="s">
        <v>89</v>
      </c>
      <c r="AE117" s="229" t="s">
        <v>37</v>
      </c>
      <c r="AF117" s="229" t="s">
        <v>90</v>
      </c>
      <c r="AG117" s="229" t="s">
        <v>91</v>
      </c>
      <c r="AH117" s="229" t="s">
        <v>92</v>
      </c>
      <c r="AI117" s="230" t="s">
        <v>93</v>
      </c>
      <c r="AJ117" s="550"/>
      <c r="AK117" s="81" t="s">
        <v>261</v>
      </c>
      <c r="AL117" s="81" t="s">
        <v>262</v>
      </c>
      <c r="AM117" s="555"/>
      <c r="AN117" s="556"/>
    </row>
    <row r="118" spans="16:40" ht="16.2" thickTop="1" x14ac:dyDescent="0.3">
      <c r="P118" s="53" t="s">
        <v>72</v>
      </c>
      <c r="Q118" s="210">
        <f>MAX(AK30,AK43)</f>
        <v>1.03142</v>
      </c>
      <c r="R118" s="210">
        <f>MIN(AL30,AL43)</f>
        <v>59.505000000000003</v>
      </c>
      <c r="T118" s="53" t="str">
        <f>IF($S$114&lt;Q118, "Scaled Distance too small.  Zeff,p,s and Zeff,I,s must be at least " &amp; Q118 &amp; " m/kg^1/3",IF($S$114&gt;R118,"Scaled Distance too large.  Zeff,p,s and Zeff,I,s must be less than " &amp; R118 &amp; " m/kg^1/3",""))</f>
        <v/>
      </c>
      <c r="Z118" s="271" t="s">
        <v>369</v>
      </c>
      <c r="AA118" s="681">
        <f>$Q$80</f>
        <v>4.6415888336127775</v>
      </c>
      <c r="AB118" s="272">
        <v>5.2205000000000004</v>
      </c>
      <c r="AC118" s="273">
        <v>-2.2273999999999998</v>
      </c>
      <c r="AD118" s="273">
        <v>1.5422</v>
      </c>
      <c r="AE118" s="273">
        <v>1.3149</v>
      </c>
      <c r="AF118" s="273">
        <v>-2.2400000000000002</v>
      </c>
      <c r="AG118" s="273">
        <v>-1.6315999999999999</v>
      </c>
      <c r="AH118" s="273">
        <v>0.85528999999999999</v>
      </c>
      <c r="AI118" s="274">
        <v>0.58457000000000003</v>
      </c>
      <c r="AJ118" s="275">
        <f>EXP(AB118+AC118*LN($AA$118)+AD118*(LN($AA$118))^2+AE118*(LN($AA$118))^3+AF118*(LN($AA$118))^4+AG118*(LN($AA$118))^5+AH118*(LN($AA$118))^6+AI118*(LN($AA$118))^7)</f>
        <v>878.76330866596686</v>
      </c>
      <c r="AK118" s="276">
        <v>0.2</v>
      </c>
      <c r="AL118" s="289">
        <v>2.4</v>
      </c>
      <c r="AM118" s="563">
        <f>IF(OR($AA$118&lt;AK118,$AA$118&gt;AL119),"Out of Range",INDEX(AJ118:AJ119,MATCH(AA118,AK118:AK119,1)))</f>
        <v>7.5139293476994631</v>
      </c>
      <c r="AN118" s="564"/>
    </row>
    <row r="119" spans="16:40" ht="16.5" customHeight="1" thickBot="1" x14ac:dyDescent="0.35">
      <c r="P119" s="53" t="s">
        <v>73</v>
      </c>
      <c r="Q119" s="210">
        <f t="shared" ref="Q119:Q127" si="9">MAX(AK31,AK44)</f>
        <v>0.3967</v>
      </c>
      <c r="R119" s="210">
        <f t="shared" ref="R119:R127" si="10">MIN(AL31,AL44)</f>
        <v>59.505000000000003</v>
      </c>
      <c r="T119" s="53" t="str">
        <f t="shared" ref="T119:T127" si="11">IF($S$114&lt;Q119, "Scaled Distance too small.  Zeff,p,s and Zeff,I,s must be at least " &amp; Q119 &amp; " m/kg^1/3",IF($S$114&gt;R119,"Scaled Distance too large.  Zeff,p,s and Zeff,I,s must be less than " &amp; R119 &amp; " m/kg^1/3",""))</f>
        <v/>
      </c>
      <c r="Z119" s="279" t="s">
        <v>371</v>
      </c>
      <c r="AA119" s="559"/>
      <c r="AB119" s="290">
        <v>2.3346100000000001</v>
      </c>
      <c r="AC119" s="260">
        <v>11.31767</v>
      </c>
      <c r="AD119" s="260">
        <v>-20.140139999999999</v>
      </c>
      <c r="AE119" s="260">
        <v>14.364229999999999</v>
      </c>
      <c r="AF119" s="260">
        <v>-5.38957</v>
      </c>
      <c r="AG119" s="260">
        <v>1.0283899999999999</v>
      </c>
      <c r="AH119" s="260">
        <v>-7.8770000000000007E-2</v>
      </c>
      <c r="AI119" s="261">
        <v>0</v>
      </c>
      <c r="AJ119" s="174">
        <f>EXP(AB119+AC119*LN($AA$118)+AD119*(LN($AA$118))^2+AE119*(LN($AA$118))^3+AF119*(LN($AA$118))^4+AG119*(LN($AA$118))^5+AH119*(LN($AA$118))^6+AI119*(LN($AA$118))^7)</f>
        <v>7.5139293476994631</v>
      </c>
      <c r="AK119" s="81">
        <v>2.4</v>
      </c>
      <c r="AL119" s="291">
        <v>59.5</v>
      </c>
      <c r="AM119" s="575"/>
      <c r="AN119" s="576"/>
    </row>
    <row r="120" spans="16:40" x14ac:dyDescent="0.3">
      <c r="P120" s="53" t="s">
        <v>39</v>
      </c>
      <c r="Q120" s="210">
        <f t="shared" si="9"/>
        <v>0.79339999999999999</v>
      </c>
      <c r="R120" s="210">
        <f t="shared" si="10"/>
        <v>59.505000000000003</v>
      </c>
      <c r="T120" s="53" t="str">
        <f t="shared" si="11"/>
        <v/>
      </c>
    </row>
    <row r="121" spans="16:40" ht="18.600000000000001" thickBot="1" x14ac:dyDescent="0.35">
      <c r="P121" s="53" t="s">
        <v>98</v>
      </c>
      <c r="Q121" s="210">
        <f t="shared" si="9"/>
        <v>0.79339999999999999</v>
      </c>
      <c r="R121" s="210">
        <f t="shared" si="10"/>
        <v>31.736000000000001</v>
      </c>
      <c r="T121" s="53" t="str">
        <f t="shared" si="11"/>
        <v/>
      </c>
      <c r="U121" s="634"/>
      <c r="V121" s="634"/>
      <c r="Z121" s="61" t="s">
        <v>418</v>
      </c>
      <c r="AA121" s="243"/>
      <c r="AB121" s="243"/>
      <c r="AC121" s="243"/>
      <c r="AD121" s="243"/>
      <c r="AE121" s="243"/>
      <c r="AF121" s="243"/>
      <c r="AG121" s="243"/>
      <c r="AH121" s="243"/>
      <c r="AI121" s="53"/>
    </row>
    <row r="122" spans="16:40" ht="16.8" thickBot="1" x14ac:dyDescent="0.4">
      <c r="P122" s="53" t="s">
        <v>99</v>
      </c>
      <c r="Q122" s="210">
        <f t="shared" si="9"/>
        <v>0.79339999999999999</v>
      </c>
      <c r="R122" s="210">
        <f t="shared" si="10"/>
        <v>39.67</v>
      </c>
      <c r="T122" s="53" t="str">
        <f t="shared" si="11"/>
        <v/>
      </c>
      <c r="U122" s="74"/>
      <c r="V122" s="74"/>
      <c r="Z122" s="572" t="s">
        <v>417</v>
      </c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4"/>
    </row>
    <row r="123" spans="16:40" ht="16.2" thickBot="1" x14ac:dyDescent="0.35">
      <c r="P123" s="53" t="s">
        <v>100</v>
      </c>
      <c r="Q123" s="210">
        <f t="shared" si="9"/>
        <v>0.3967</v>
      </c>
      <c r="R123" s="210">
        <f t="shared" si="10"/>
        <v>39.67</v>
      </c>
      <c r="T123" s="53" t="str">
        <f t="shared" si="11"/>
        <v/>
      </c>
      <c r="Z123" s="542" t="s">
        <v>330</v>
      </c>
      <c r="AA123" s="544" t="s">
        <v>416</v>
      </c>
      <c r="AB123" s="546" t="s">
        <v>415</v>
      </c>
      <c r="AC123" s="547"/>
      <c r="AD123" s="547"/>
      <c r="AE123" s="547"/>
      <c r="AF123" s="547"/>
      <c r="AG123" s="547"/>
      <c r="AH123" s="547"/>
      <c r="AI123" s="548"/>
      <c r="AJ123" s="549" t="s">
        <v>397</v>
      </c>
      <c r="AK123" s="551" t="s">
        <v>267</v>
      </c>
      <c r="AL123" s="552"/>
      <c r="AM123" s="553" t="s">
        <v>399</v>
      </c>
      <c r="AN123" s="554"/>
    </row>
    <row r="124" spans="16:40" ht="16.2" thickBot="1" x14ac:dyDescent="0.35">
      <c r="P124" s="53" t="s">
        <v>581</v>
      </c>
      <c r="Q124" s="210">
        <f t="shared" si="9"/>
        <v>0.63472000000000006</v>
      </c>
      <c r="R124" s="210">
        <f t="shared" si="10"/>
        <v>39.67</v>
      </c>
      <c r="T124" s="53" t="str">
        <f t="shared" si="11"/>
        <v/>
      </c>
      <c r="Z124" s="543"/>
      <c r="AA124" s="545"/>
      <c r="AB124" s="228" t="s">
        <v>87</v>
      </c>
      <c r="AC124" s="229" t="s">
        <v>88</v>
      </c>
      <c r="AD124" s="229" t="s">
        <v>89</v>
      </c>
      <c r="AE124" s="229" t="s">
        <v>37</v>
      </c>
      <c r="AF124" s="229" t="s">
        <v>90</v>
      </c>
      <c r="AG124" s="229" t="s">
        <v>91</v>
      </c>
      <c r="AH124" s="229" t="s">
        <v>92</v>
      </c>
      <c r="AI124" s="230" t="s">
        <v>93</v>
      </c>
      <c r="AJ124" s="550"/>
      <c r="AK124" s="81" t="s">
        <v>421</v>
      </c>
      <c r="AL124" s="81" t="s">
        <v>422</v>
      </c>
      <c r="AM124" s="555"/>
      <c r="AN124" s="556"/>
    </row>
    <row r="125" spans="16:40" ht="16.2" thickTop="1" x14ac:dyDescent="0.3">
      <c r="P125" s="53" t="s">
        <v>582</v>
      </c>
      <c r="Q125" s="210">
        <f t="shared" si="9"/>
        <v>0.93224499999999999</v>
      </c>
      <c r="R125" s="210">
        <f t="shared" si="10"/>
        <v>58.711599999999997</v>
      </c>
      <c r="T125" s="53" t="str">
        <f t="shared" si="11"/>
        <v/>
      </c>
      <c r="Z125" s="292" t="s">
        <v>419</v>
      </c>
      <c r="AA125" s="680">
        <f>$Q$83</f>
        <v>49.31156135724909</v>
      </c>
      <c r="AB125" s="560" t="s">
        <v>423</v>
      </c>
      <c r="AC125" s="561"/>
      <c r="AD125" s="561"/>
      <c r="AE125" s="561"/>
      <c r="AF125" s="561"/>
      <c r="AG125" s="561"/>
      <c r="AH125" s="561"/>
      <c r="AI125" s="562"/>
      <c r="AJ125" s="235">
        <v>9.9999999999999995E-7</v>
      </c>
      <c r="AK125" s="236">
        <v>0</v>
      </c>
      <c r="AL125" s="237">
        <v>6.8999999999999999E-3</v>
      </c>
      <c r="AM125" s="563">
        <f>IF(OR($AA$125&lt;AK125,$AA$125&gt;AL127),"Out of Range",INDEX(AJ125:AJ127,MATCH(AA125,AK125:AK127,1)))</f>
        <v>1</v>
      </c>
      <c r="AN125" s="564"/>
    </row>
    <row r="126" spans="16:40" x14ac:dyDescent="0.3">
      <c r="P126" s="121" t="s">
        <v>583</v>
      </c>
      <c r="Q126" s="210">
        <f t="shared" si="9"/>
        <v>0.67438999999999993</v>
      </c>
      <c r="R126" s="210">
        <f t="shared" si="10"/>
        <v>52.761099999999999</v>
      </c>
      <c r="T126" s="53" t="str">
        <f t="shared" si="11"/>
        <v/>
      </c>
      <c r="Z126" s="292" t="s">
        <v>488</v>
      </c>
      <c r="AA126" s="558"/>
      <c r="AB126" s="239">
        <v>-5.9857246026877409</v>
      </c>
      <c r="AC126" s="240">
        <v>4.0431475055103334</v>
      </c>
      <c r="AD126" s="240">
        <v>-0.29113284885657092</v>
      </c>
      <c r="AE126" s="240">
        <v>-0.14691145805741104</v>
      </c>
      <c r="AF126" s="240">
        <v>-1.0892131042976663E-2</v>
      </c>
      <c r="AG126" s="240">
        <v>4.6421300000000004E-3</v>
      </c>
      <c r="AH126" s="240">
        <v>0</v>
      </c>
      <c r="AI126" s="241">
        <v>0</v>
      </c>
      <c r="AJ126" s="97">
        <f>EXP(AB126+AC126*LN($AA$125)+AD126*(LN($AA$125))^2+AE126*(LN($AA$125))^3+AF126*(LN($AA$125))^4+AG126*(LN($AA$125))^5+AH126*(LN($AA$125))^6+AI126*(LN($AA$125))^7)</f>
        <v>0.18493045954383028</v>
      </c>
      <c r="AK126" s="92">
        <v>6.8999999999999999E-3</v>
      </c>
      <c r="AL126" s="195">
        <v>10.34</v>
      </c>
      <c r="AM126" s="565"/>
      <c r="AN126" s="566"/>
    </row>
    <row r="127" spans="16:40" ht="18.600000000000001" thickBot="1" x14ac:dyDescent="0.45">
      <c r="P127" s="54" t="s">
        <v>584</v>
      </c>
      <c r="Q127" s="210">
        <f t="shared" si="9"/>
        <v>1.2892749999999999</v>
      </c>
      <c r="R127" s="210">
        <f t="shared" si="10"/>
        <v>58.711599999999997</v>
      </c>
      <c r="T127" s="53" t="str">
        <f t="shared" si="11"/>
        <v/>
      </c>
      <c r="Z127" s="293" t="s">
        <v>420</v>
      </c>
      <c r="AA127" s="559"/>
      <c r="AB127" s="569" t="s">
        <v>424</v>
      </c>
      <c r="AC127" s="570"/>
      <c r="AD127" s="570"/>
      <c r="AE127" s="570"/>
      <c r="AF127" s="570"/>
      <c r="AG127" s="570"/>
      <c r="AH127" s="570"/>
      <c r="AI127" s="571"/>
      <c r="AJ127" s="174">
        <v>1</v>
      </c>
      <c r="AK127" s="81">
        <v>10.34</v>
      </c>
      <c r="AL127" s="214">
        <v>100000</v>
      </c>
      <c r="AM127" s="567"/>
      <c r="AN127" s="568"/>
    </row>
    <row r="128" spans="16:40" x14ac:dyDescent="0.3">
      <c r="P128" s="53"/>
      <c r="Q128" s="474"/>
      <c r="R128" s="474"/>
    </row>
    <row r="129" spans="16:40" ht="18.600000000000001" thickBot="1" x14ac:dyDescent="0.35">
      <c r="Q129" s="634" t="s">
        <v>531</v>
      </c>
      <c r="R129" s="634"/>
      <c r="Z129" s="61" t="s">
        <v>425</v>
      </c>
      <c r="AA129" s="243"/>
      <c r="AB129" s="243"/>
      <c r="AC129" s="243"/>
      <c r="AD129" s="243"/>
      <c r="AE129" s="243"/>
      <c r="AF129" s="243"/>
      <c r="AG129" s="243"/>
      <c r="AH129" s="243"/>
      <c r="AI129" s="53"/>
    </row>
    <row r="130" spans="16:40" ht="16.8" thickBot="1" x14ac:dyDescent="0.4">
      <c r="P130" s="74" t="s">
        <v>526</v>
      </c>
      <c r="Q130" s="473" t="s">
        <v>532</v>
      </c>
      <c r="R130" s="473" t="s">
        <v>533</v>
      </c>
      <c r="T130" s="288" t="s">
        <v>535</v>
      </c>
      <c r="Z130" s="572" t="s">
        <v>417</v>
      </c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4"/>
    </row>
    <row r="131" spans="16:40" ht="16.2" thickBot="1" x14ac:dyDescent="0.35">
      <c r="P131" s="54" t="s">
        <v>573</v>
      </c>
      <c r="Q131" s="210">
        <v>0.39669946048873372</v>
      </c>
      <c r="R131" s="474">
        <v>198.34973024436687</v>
      </c>
      <c r="T131" s="53" t="str">
        <f>IF($S$114&lt;Q131, "Scaled Distance too small.  Zeff,p,s and Zeff,I,s must be at least " &amp; Q131 &amp; " m/kg^1/3",IF($S$114&gt;R131,"Scaled Distance too large.  Zeff,p,s and Zeff,I,s must be less than " &amp; R131 &amp; " m/kg^1/3",""))</f>
        <v/>
      </c>
      <c r="Z131" s="542" t="s">
        <v>330</v>
      </c>
      <c r="AA131" s="544" t="s">
        <v>416</v>
      </c>
      <c r="AB131" s="546" t="s">
        <v>415</v>
      </c>
      <c r="AC131" s="547"/>
      <c r="AD131" s="547"/>
      <c r="AE131" s="547"/>
      <c r="AF131" s="547"/>
      <c r="AG131" s="547"/>
      <c r="AH131" s="547"/>
      <c r="AI131" s="548"/>
      <c r="AJ131" s="549" t="s">
        <v>397</v>
      </c>
      <c r="AK131" s="551" t="s">
        <v>267</v>
      </c>
      <c r="AL131" s="552"/>
      <c r="AM131" s="553" t="s">
        <v>399</v>
      </c>
      <c r="AN131" s="554"/>
    </row>
    <row r="132" spans="16:40" ht="16.2" thickBot="1" x14ac:dyDescent="0.35">
      <c r="P132" s="53"/>
      <c r="Q132" s="210"/>
      <c r="R132" s="210"/>
      <c r="T132" s="53"/>
      <c r="Z132" s="543"/>
      <c r="AA132" s="545"/>
      <c r="AB132" s="228" t="s">
        <v>87</v>
      </c>
      <c r="AC132" s="229" t="s">
        <v>88</v>
      </c>
      <c r="AD132" s="229" t="s">
        <v>89</v>
      </c>
      <c r="AE132" s="229" t="s">
        <v>37</v>
      </c>
      <c r="AF132" s="229" t="s">
        <v>90</v>
      </c>
      <c r="AG132" s="229" t="s">
        <v>91</v>
      </c>
      <c r="AH132" s="229" t="s">
        <v>92</v>
      </c>
      <c r="AI132" s="230" t="s">
        <v>93</v>
      </c>
      <c r="AJ132" s="550"/>
      <c r="AK132" s="81" t="s">
        <v>421</v>
      </c>
      <c r="AL132" s="81" t="s">
        <v>422</v>
      </c>
      <c r="AM132" s="555"/>
      <c r="AN132" s="556"/>
    </row>
    <row r="133" spans="16:40" ht="16.2" thickTop="1" x14ac:dyDescent="0.3">
      <c r="P133" s="53"/>
      <c r="Q133" s="210"/>
      <c r="R133" s="210"/>
      <c r="T133" s="53"/>
      <c r="Z133" s="292" t="s">
        <v>426</v>
      </c>
      <c r="AA133" s="680">
        <f>$Q$83</f>
        <v>49.31156135724909</v>
      </c>
      <c r="AB133" s="560" t="s">
        <v>423</v>
      </c>
      <c r="AC133" s="561"/>
      <c r="AD133" s="561"/>
      <c r="AE133" s="561"/>
      <c r="AF133" s="561"/>
      <c r="AG133" s="561"/>
      <c r="AH133" s="561"/>
      <c r="AI133" s="562"/>
      <c r="AJ133" s="235">
        <v>9.9999999999999995E-7</v>
      </c>
      <c r="AK133" s="236">
        <v>0</v>
      </c>
      <c r="AL133" s="237">
        <v>3.4500000000000003E-2</v>
      </c>
      <c r="AM133" s="563">
        <f>IF(OR($AA$133&lt;AK133,$AA$133&gt;AL136),"Out of Range",INDEX(AJ133:AJ136,MATCH(AA133,AK133:AK136,1)))</f>
        <v>1</v>
      </c>
      <c r="AN133" s="564"/>
    </row>
    <row r="134" spans="16:40" x14ac:dyDescent="0.3">
      <c r="P134" s="53"/>
      <c r="Q134" s="210"/>
      <c r="R134" s="210"/>
      <c r="T134" s="53"/>
      <c r="Z134" s="292" t="s">
        <v>489</v>
      </c>
      <c r="AA134" s="558"/>
      <c r="AB134" s="294">
        <v>2.9375772393636836</v>
      </c>
      <c r="AC134" s="295">
        <v>35.498534117737037</v>
      </c>
      <c r="AD134" s="295">
        <v>52.74422060589238</v>
      </c>
      <c r="AE134" s="295">
        <v>42.115057640299085</v>
      </c>
      <c r="AF134" s="295">
        <v>17.797040279933828</v>
      </c>
      <c r="AG134" s="295">
        <v>3.8517640155328885</v>
      </c>
      <c r="AH134" s="295">
        <v>0.33639799999999997</v>
      </c>
      <c r="AI134" s="296">
        <v>0</v>
      </c>
      <c r="AJ134" s="97" t="e">
        <f>EXP(AB134+AC134*LN($AA$133)+AD134*(LN($AA$133))^2+AE134*(LN($AA$133))^3+AF134*(LN($AA$133))^4+AG134*(LN($AA$133))^5+AH134*(LN($AA$133))^6+AI134*(LN($AA$133))^7)</f>
        <v>#NUM!</v>
      </c>
      <c r="AK134" s="236">
        <v>3.4500000000000003E-2</v>
      </c>
      <c r="AL134" s="237">
        <v>0.42099999999999999</v>
      </c>
      <c r="AM134" s="565"/>
      <c r="AN134" s="566"/>
    </row>
    <row r="135" spans="16:40" x14ac:dyDescent="0.3">
      <c r="P135" s="53"/>
      <c r="Q135" s="210"/>
      <c r="R135" s="210"/>
      <c r="T135" s="53"/>
      <c r="Z135" s="292" t="s">
        <v>490</v>
      </c>
      <c r="AA135" s="558"/>
      <c r="AB135" s="294">
        <v>-3.7627203636960935</v>
      </c>
      <c r="AC135" s="295">
        <v>3.8531821379801769</v>
      </c>
      <c r="AD135" s="295">
        <v>0.11770285173460593</v>
      </c>
      <c r="AE135" s="295">
        <v>0.32141631040202867</v>
      </c>
      <c r="AF135" s="295">
        <v>-0.76479650592106196</v>
      </c>
      <c r="AG135" s="295">
        <v>-0.38419388896009332</v>
      </c>
      <c r="AH135" s="295">
        <v>0.299983</v>
      </c>
      <c r="AI135" s="296">
        <v>0</v>
      </c>
      <c r="AJ135" s="97">
        <f>EXP(AB135+AC135*LN($AA$133)+AD135*(LN($AA$133))^2+AE135*(LN($AA$133))^3+AF135*(LN($AA$133))^4+AG135*(LN($AA$133))^5+AH135*(LN($AA$133))^6+AI135*(LN($AA$133))^7)</f>
        <v>1.5150197796959109E+244</v>
      </c>
      <c r="AK135" s="92">
        <v>0.42099999999999999</v>
      </c>
      <c r="AL135" s="195">
        <v>4.1369999999999996</v>
      </c>
      <c r="AM135" s="565"/>
      <c r="AN135" s="566"/>
    </row>
    <row r="136" spans="16:40" ht="18.600000000000001" thickBot="1" x14ac:dyDescent="0.45">
      <c r="P136" s="53"/>
      <c r="Q136" s="210"/>
      <c r="R136" s="210"/>
      <c r="T136" s="53"/>
      <c r="Z136" s="293" t="s">
        <v>429</v>
      </c>
      <c r="AA136" s="559"/>
      <c r="AB136" s="569" t="s">
        <v>424</v>
      </c>
      <c r="AC136" s="570"/>
      <c r="AD136" s="570"/>
      <c r="AE136" s="570"/>
      <c r="AF136" s="570"/>
      <c r="AG136" s="570"/>
      <c r="AH136" s="570"/>
      <c r="AI136" s="571"/>
      <c r="AJ136" s="174">
        <v>1</v>
      </c>
      <c r="AK136" s="81">
        <v>4.1369999999999996</v>
      </c>
      <c r="AL136" s="214">
        <v>100000</v>
      </c>
      <c r="AM136" s="567"/>
      <c r="AN136" s="568"/>
    </row>
    <row r="137" spans="16:40" x14ac:dyDescent="0.3">
      <c r="P137" s="53"/>
      <c r="Q137" s="210"/>
      <c r="R137" s="210"/>
      <c r="T137" s="53"/>
    </row>
    <row r="138" spans="16:40" ht="18.600000000000001" thickBot="1" x14ac:dyDescent="0.35">
      <c r="P138" s="53"/>
      <c r="Q138" s="210"/>
      <c r="R138" s="210"/>
      <c r="T138" s="53"/>
      <c r="Z138" s="61" t="s">
        <v>430</v>
      </c>
      <c r="AA138" s="243"/>
      <c r="AB138" s="243"/>
      <c r="AC138" s="243"/>
      <c r="AD138" s="243"/>
      <c r="AE138" s="243"/>
      <c r="AF138" s="243"/>
      <c r="AG138" s="243"/>
      <c r="AH138" s="243"/>
      <c r="AI138" s="53"/>
    </row>
    <row r="139" spans="16:40" ht="16.8" thickBot="1" x14ac:dyDescent="0.4">
      <c r="P139" s="53"/>
      <c r="Q139" s="210"/>
      <c r="R139" s="210"/>
      <c r="Z139" s="572" t="s">
        <v>417</v>
      </c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4"/>
    </row>
    <row r="140" spans="16:40" ht="16.2" thickBot="1" x14ac:dyDescent="0.35">
      <c r="Z140" s="542" t="s">
        <v>330</v>
      </c>
      <c r="AA140" s="544" t="s">
        <v>416</v>
      </c>
      <c r="AB140" s="546" t="s">
        <v>415</v>
      </c>
      <c r="AC140" s="547"/>
      <c r="AD140" s="547"/>
      <c r="AE140" s="547"/>
      <c r="AF140" s="547"/>
      <c r="AG140" s="547"/>
      <c r="AH140" s="547"/>
      <c r="AI140" s="548"/>
      <c r="AJ140" s="549" t="s">
        <v>397</v>
      </c>
      <c r="AK140" s="551" t="s">
        <v>267</v>
      </c>
      <c r="AL140" s="552"/>
      <c r="AM140" s="553" t="s">
        <v>399</v>
      </c>
      <c r="AN140" s="554"/>
    </row>
    <row r="141" spans="16:40" ht="16.2" thickBot="1" x14ac:dyDescent="0.35">
      <c r="Z141" s="543"/>
      <c r="AA141" s="545"/>
      <c r="AB141" s="228" t="s">
        <v>87</v>
      </c>
      <c r="AC141" s="229" t="s">
        <v>88</v>
      </c>
      <c r="AD141" s="229" t="s">
        <v>89</v>
      </c>
      <c r="AE141" s="229" t="s">
        <v>37</v>
      </c>
      <c r="AF141" s="229" t="s">
        <v>90</v>
      </c>
      <c r="AG141" s="229" t="s">
        <v>91</v>
      </c>
      <c r="AH141" s="229" t="s">
        <v>92</v>
      </c>
      <c r="AI141" s="230" t="s">
        <v>93</v>
      </c>
      <c r="AJ141" s="550"/>
      <c r="AK141" s="81" t="s">
        <v>421</v>
      </c>
      <c r="AL141" s="81" t="s">
        <v>422</v>
      </c>
      <c r="AM141" s="555"/>
      <c r="AN141" s="556"/>
    </row>
    <row r="142" spans="16:40" ht="16.2" thickTop="1" x14ac:dyDescent="0.3">
      <c r="Z142" s="292" t="s">
        <v>431</v>
      </c>
      <c r="AA142" s="680">
        <f>$Q$83</f>
        <v>49.31156135724909</v>
      </c>
      <c r="AB142" s="560" t="s">
        <v>423</v>
      </c>
      <c r="AC142" s="561"/>
      <c r="AD142" s="561"/>
      <c r="AE142" s="561"/>
      <c r="AF142" s="561"/>
      <c r="AG142" s="561"/>
      <c r="AH142" s="561"/>
      <c r="AI142" s="562"/>
      <c r="AJ142" s="235">
        <v>9.9999999999999995E-7</v>
      </c>
      <c r="AK142" s="236">
        <v>0</v>
      </c>
      <c r="AL142" s="237">
        <v>6.8999999999999999E-3</v>
      </c>
      <c r="AM142" s="563">
        <f>IF(OR($AA$142&lt;AK142,$AA$142&gt;AL145),"Out of Range",INDEX(AJ142:AJ145,MATCH(AA142,AK142:AK145,1)))</f>
        <v>1</v>
      </c>
      <c r="AN142" s="564"/>
    </row>
    <row r="143" spans="16:40" x14ac:dyDescent="0.3">
      <c r="Z143" s="292" t="s">
        <v>491</v>
      </c>
      <c r="AA143" s="558"/>
      <c r="AB143" s="294">
        <v>36.974764671480443</v>
      </c>
      <c r="AC143" s="295">
        <v>109.07569647672624</v>
      </c>
      <c r="AD143" s="295">
        <v>106.72621643217394</v>
      </c>
      <c r="AE143" s="295">
        <v>51.835109883081707</v>
      </c>
      <c r="AF143" s="295">
        <v>12.003740791125544</v>
      </c>
      <c r="AG143" s="295">
        <v>1.0031040805438545</v>
      </c>
      <c r="AH143" s="295">
        <v>-1.9636299999999999E-2</v>
      </c>
      <c r="AI143" s="296">
        <v>0</v>
      </c>
      <c r="AJ143" s="97" t="e">
        <f>EXP(AB143+AC143*LN($AA$142)+AD143*(LN($AA$142))^2+AE143*(LN($AA$142))^3+AF143*(LN($AA$142))^4+AG143*(LN($AA$142))^5+AH143*(LN($AA$142))^6+AI143*(LN($AA$142))^7)</f>
        <v>#NUM!</v>
      </c>
      <c r="AK143" s="236">
        <v>6.8999999999999999E-3</v>
      </c>
      <c r="AL143" s="237">
        <v>0.34499999999999997</v>
      </c>
      <c r="AM143" s="565"/>
      <c r="AN143" s="566"/>
    </row>
    <row r="144" spans="16:40" x14ac:dyDescent="0.3">
      <c r="Z144" s="292" t="s">
        <v>492</v>
      </c>
      <c r="AA144" s="558"/>
      <c r="AB144" s="294">
        <v>-1.7404357145938292</v>
      </c>
      <c r="AC144" s="295">
        <v>3.6937542713947096</v>
      </c>
      <c r="AD144" s="295">
        <v>-0.6052914701961214</v>
      </c>
      <c r="AE144" s="295">
        <v>-1.473942586856694</v>
      </c>
      <c r="AF144" s="295">
        <v>-1.0917310690498851</v>
      </c>
      <c r="AG144" s="295">
        <v>0.63661180035989062</v>
      </c>
      <c r="AH144" s="295">
        <v>0.59882400000000002</v>
      </c>
      <c r="AI144" s="296">
        <v>0</v>
      </c>
      <c r="AJ144" s="97" t="e">
        <f>EXP(AB144+AC144*LN($AA$142)+AD144*(LN($AA$142))^2+AE144*(LN($AA$142))^3+AF144*(LN($AA$142))^4+AG144*(LN($AA$142))^5+AH144*(LN($AA$142))^6+AI144*(LN($AA$142))^7)</f>
        <v>#NUM!</v>
      </c>
      <c r="AK144" s="92">
        <v>0.34499999999999997</v>
      </c>
      <c r="AL144" s="195">
        <v>2.4820000000000002</v>
      </c>
      <c r="AM144" s="565"/>
      <c r="AN144" s="566"/>
    </row>
    <row r="145" spans="26:40" ht="18.600000000000001" thickBot="1" x14ac:dyDescent="0.45">
      <c r="Z145" s="293" t="s">
        <v>434</v>
      </c>
      <c r="AA145" s="559"/>
      <c r="AB145" s="569" t="s">
        <v>424</v>
      </c>
      <c r="AC145" s="570"/>
      <c r="AD145" s="570"/>
      <c r="AE145" s="570"/>
      <c r="AF145" s="570"/>
      <c r="AG145" s="570"/>
      <c r="AH145" s="570"/>
      <c r="AI145" s="571"/>
      <c r="AJ145" s="174">
        <v>1</v>
      </c>
      <c r="AK145" s="81">
        <v>2.4820000000000002</v>
      </c>
      <c r="AL145" s="214">
        <v>100000</v>
      </c>
      <c r="AM145" s="567"/>
      <c r="AN145" s="568"/>
    </row>
    <row r="147" spans="26:40" ht="18.600000000000001" thickBot="1" x14ac:dyDescent="0.35">
      <c r="Z147" s="61" t="s">
        <v>435</v>
      </c>
      <c r="AA147" s="243"/>
      <c r="AB147" s="243"/>
      <c r="AC147" s="243"/>
      <c r="AD147" s="243"/>
      <c r="AE147" s="243"/>
      <c r="AF147" s="243"/>
      <c r="AG147" s="243"/>
      <c r="AH147" s="243"/>
      <c r="AI147" s="53"/>
    </row>
    <row r="148" spans="26:40" ht="16.8" thickBot="1" x14ac:dyDescent="0.4">
      <c r="Z148" s="572" t="s">
        <v>417</v>
      </c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4"/>
    </row>
    <row r="149" spans="26:40" ht="16.2" thickBot="1" x14ac:dyDescent="0.35">
      <c r="Z149" s="542" t="s">
        <v>330</v>
      </c>
      <c r="AA149" s="544" t="s">
        <v>416</v>
      </c>
      <c r="AB149" s="546" t="s">
        <v>415</v>
      </c>
      <c r="AC149" s="547"/>
      <c r="AD149" s="547"/>
      <c r="AE149" s="547"/>
      <c r="AF149" s="547"/>
      <c r="AG149" s="547"/>
      <c r="AH149" s="547"/>
      <c r="AI149" s="548"/>
      <c r="AJ149" s="549" t="s">
        <v>397</v>
      </c>
      <c r="AK149" s="551" t="s">
        <v>267</v>
      </c>
      <c r="AL149" s="552"/>
      <c r="AM149" s="553" t="s">
        <v>399</v>
      </c>
      <c r="AN149" s="554"/>
    </row>
    <row r="150" spans="26:40" ht="16.2" thickBot="1" x14ac:dyDescent="0.35">
      <c r="Z150" s="543"/>
      <c r="AA150" s="545"/>
      <c r="AB150" s="228" t="s">
        <v>87</v>
      </c>
      <c r="AC150" s="229" t="s">
        <v>88</v>
      </c>
      <c r="AD150" s="229" t="s">
        <v>89</v>
      </c>
      <c r="AE150" s="229" t="s">
        <v>37</v>
      </c>
      <c r="AF150" s="229" t="s">
        <v>90</v>
      </c>
      <c r="AG150" s="229" t="s">
        <v>91</v>
      </c>
      <c r="AH150" s="229" t="s">
        <v>92</v>
      </c>
      <c r="AI150" s="230" t="s">
        <v>93</v>
      </c>
      <c r="AJ150" s="550"/>
      <c r="AK150" s="81" t="s">
        <v>421</v>
      </c>
      <c r="AL150" s="81" t="s">
        <v>422</v>
      </c>
      <c r="AM150" s="555"/>
      <c r="AN150" s="556"/>
    </row>
    <row r="151" spans="26:40" ht="16.2" thickTop="1" x14ac:dyDescent="0.3">
      <c r="Z151" s="292" t="s">
        <v>436</v>
      </c>
      <c r="AA151" s="680">
        <f>$Q$83</f>
        <v>49.31156135724909</v>
      </c>
      <c r="AB151" s="560" t="s">
        <v>423</v>
      </c>
      <c r="AC151" s="561"/>
      <c r="AD151" s="561"/>
      <c r="AE151" s="561"/>
      <c r="AF151" s="561"/>
      <c r="AG151" s="561"/>
      <c r="AH151" s="561"/>
      <c r="AI151" s="562"/>
      <c r="AJ151" s="235">
        <v>9.9999999999999995E-7</v>
      </c>
      <c r="AK151" s="236">
        <v>0</v>
      </c>
      <c r="AL151" s="237">
        <v>6.8999999999999999E-3</v>
      </c>
      <c r="AM151" s="563">
        <f>IF(OR($AA$151&lt;AK151,$AA$151&gt;AL154),"Out of Range",INDEX(AJ151:AJ154,MATCH(AA151,AK151:AK154,1)))</f>
        <v>1</v>
      </c>
      <c r="AN151" s="564"/>
    </row>
    <row r="152" spans="26:40" x14ac:dyDescent="0.3">
      <c r="Z152" s="292" t="s">
        <v>493</v>
      </c>
      <c r="AA152" s="558"/>
      <c r="AB152" s="294">
        <v>-2.4890965631885908</v>
      </c>
      <c r="AC152" s="295">
        <v>2.3369674641026021</v>
      </c>
      <c r="AD152" s="295">
        <v>-1.2614588218043994</v>
      </c>
      <c r="AE152" s="295">
        <v>-0.47863684708625742</v>
      </c>
      <c r="AF152" s="295">
        <v>-0.20407211075145504</v>
      </c>
      <c r="AG152" s="295">
        <v>-7.7283316376277222E-2</v>
      </c>
      <c r="AH152" s="295">
        <v>-1.16364E-2</v>
      </c>
      <c r="AI152" s="296">
        <v>0</v>
      </c>
      <c r="AJ152" s="97">
        <f>EXP(AB152+AC152*LN($AA$151)+AD152*(LN($AA$151))^2+AE152*(LN($AA$151))^3+AF152*(LN($AA$151))^4+AG152*(LN($AA$151))^5+AH152*(LN($AA$151))^6+AI152*(LN($AA$151))^7)</f>
        <v>6.7512126977163811E-87</v>
      </c>
      <c r="AK152" s="236">
        <v>6.8999999999999999E-3</v>
      </c>
      <c r="AL152" s="237">
        <v>1.31</v>
      </c>
      <c r="AM152" s="565"/>
      <c r="AN152" s="566"/>
    </row>
    <row r="153" spans="26:40" x14ac:dyDescent="0.3">
      <c r="Z153" s="292" t="s">
        <v>494</v>
      </c>
      <c r="AA153" s="558"/>
      <c r="AB153" s="294">
        <v>-5.179901117790223</v>
      </c>
      <c r="AC153" s="295">
        <v>31.609476297601759</v>
      </c>
      <c r="AD153" s="295">
        <v>-126.57417808504397</v>
      </c>
      <c r="AE153" s="295">
        <v>266.30620824027574</v>
      </c>
      <c r="AF153" s="295">
        <v>-286.23144076276708</v>
      </c>
      <c r="AG153" s="295">
        <v>151.53466853370423</v>
      </c>
      <c r="AH153" s="295">
        <v>-31.5459</v>
      </c>
      <c r="AI153" s="296">
        <v>0</v>
      </c>
      <c r="AJ153" s="97">
        <f>EXP(AB153+AC153*LN($AA$151)+AD153*(LN($AA$151))^2+AE153*(LN($AA$151))^3+AF153*(LN($AA$151))^4+AG153*(LN($AA$151))^5+AH153*(LN($AA$151))^6+AI153*(LN($AA$151))^7)</f>
        <v>0</v>
      </c>
      <c r="AK153" s="92">
        <v>1.31</v>
      </c>
      <c r="AL153" s="195">
        <v>3.45</v>
      </c>
      <c r="AM153" s="565"/>
      <c r="AN153" s="566"/>
    </row>
    <row r="154" spans="26:40" ht="18.600000000000001" thickBot="1" x14ac:dyDescent="0.45">
      <c r="Z154" s="293" t="s">
        <v>439</v>
      </c>
      <c r="AA154" s="559"/>
      <c r="AB154" s="569" t="s">
        <v>424</v>
      </c>
      <c r="AC154" s="570"/>
      <c r="AD154" s="570"/>
      <c r="AE154" s="570"/>
      <c r="AF154" s="570"/>
      <c r="AG154" s="570"/>
      <c r="AH154" s="570"/>
      <c r="AI154" s="571"/>
      <c r="AJ154" s="174">
        <v>1</v>
      </c>
      <c r="AK154" s="81">
        <v>3.45</v>
      </c>
      <c r="AL154" s="214">
        <v>100000</v>
      </c>
      <c r="AM154" s="567"/>
      <c r="AN154" s="568"/>
    </row>
    <row r="156" spans="26:40" ht="18.600000000000001" thickBot="1" x14ac:dyDescent="0.35">
      <c r="Z156" s="61" t="s">
        <v>440</v>
      </c>
      <c r="AA156" s="243"/>
      <c r="AB156" s="243"/>
      <c r="AC156" s="243"/>
      <c r="AD156" s="243"/>
      <c r="AE156" s="243"/>
      <c r="AF156" s="243"/>
      <c r="AG156" s="243"/>
      <c r="AH156" s="243"/>
      <c r="AI156" s="53"/>
    </row>
    <row r="157" spans="26:40" ht="16.8" thickBot="1" x14ac:dyDescent="0.4">
      <c r="Z157" s="572" t="s">
        <v>417</v>
      </c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4"/>
    </row>
    <row r="158" spans="26:40" ht="16.2" thickBot="1" x14ac:dyDescent="0.35">
      <c r="Z158" s="542" t="s">
        <v>330</v>
      </c>
      <c r="AA158" s="544" t="s">
        <v>416</v>
      </c>
      <c r="AB158" s="546" t="s">
        <v>415</v>
      </c>
      <c r="AC158" s="547"/>
      <c r="AD158" s="547"/>
      <c r="AE158" s="547"/>
      <c r="AF158" s="547"/>
      <c r="AG158" s="547"/>
      <c r="AH158" s="547"/>
      <c r="AI158" s="548"/>
      <c r="AJ158" s="549" t="s">
        <v>397</v>
      </c>
      <c r="AK158" s="551" t="s">
        <v>267</v>
      </c>
      <c r="AL158" s="552"/>
      <c r="AM158" s="553" t="s">
        <v>399</v>
      </c>
      <c r="AN158" s="554"/>
    </row>
    <row r="159" spans="26:40" ht="16.2" thickBot="1" x14ac:dyDescent="0.35">
      <c r="Z159" s="543"/>
      <c r="AA159" s="545"/>
      <c r="AB159" s="228" t="s">
        <v>87</v>
      </c>
      <c r="AC159" s="229" t="s">
        <v>88</v>
      </c>
      <c r="AD159" s="229" t="s">
        <v>89</v>
      </c>
      <c r="AE159" s="229" t="s">
        <v>37</v>
      </c>
      <c r="AF159" s="229" t="s">
        <v>90</v>
      </c>
      <c r="AG159" s="229" t="s">
        <v>91</v>
      </c>
      <c r="AH159" s="229" t="s">
        <v>92</v>
      </c>
      <c r="AI159" s="230" t="s">
        <v>93</v>
      </c>
      <c r="AJ159" s="550"/>
      <c r="AK159" s="81" t="s">
        <v>421</v>
      </c>
      <c r="AL159" s="81" t="s">
        <v>422</v>
      </c>
      <c r="AM159" s="555"/>
      <c r="AN159" s="556"/>
    </row>
    <row r="160" spans="26:40" ht="16.2" thickTop="1" x14ac:dyDescent="0.3">
      <c r="Z160" s="292" t="s">
        <v>441</v>
      </c>
      <c r="AA160" s="680">
        <f>$Q$83</f>
        <v>49.31156135724909</v>
      </c>
      <c r="AB160" s="560" t="s">
        <v>423</v>
      </c>
      <c r="AC160" s="561"/>
      <c r="AD160" s="561"/>
      <c r="AE160" s="561"/>
      <c r="AF160" s="561"/>
      <c r="AG160" s="561"/>
      <c r="AH160" s="561"/>
      <c r="AI160" s="562"/>
      <c r="AJ160" s="235">
        <v>1.0000000000000001E-5</v>
      </c>
      <c r="AK160" s="236">
        <v>0</v>
      </c>
      <c r="AL160" s="237">
        <v>4.8000000000000001E-2</v>
      </c>
      <c r="AM160" s="563">
        <f>IF(OR($AA$160&lt;AK160,$AA$160&gt;AL163),"Out of Range",INDEX(AJ160:AJ163,MATCH(AA160,AK160:AK163,1)))</f>
        <v>1</v>
      </c>
      <c r="AN160" s="564"/>
    </row>
    <row r="161" spans="26:80" x14ac:dyDescent="0.3">
      <c r="Z161" s="292" t="s">
        <v>495</v>
      </c>
      <c r="AA161" s="558"/>
      <c r="AB161" s="294">
        <v>16.101727886693332</v>
      </c>
      <c r="AC161" s="295">
        <v>71.504022019646456</v>
      </c>
      <c r="AD161" s="295">
        <v>105.19942682604733</v>
      </c>
      <c r="AE161" s="295">
        <v>81.753815501793341</v>
      </c>
      <c r="AF161" s="295">
        <v>34.308316635808431</v>
      </c>
      <c r="AG161" s="295">
        <v>7.4511093912039614</v>
      </c>
      <c r="AH161" s="295">
        <v>0.65720100000000004</v>
      </c>
      <c r="AI161" s="296">
        <v>0</v>
      </c>
      <c r="AJ161" s="97" t="e">
        <f>EXP(AB161+AC161*LN($AA$160)+AD161*(LN($AA$160))^2+AE161*(LN($AA$160))^3+AF161*(LN($AA$160))^4+AG161*(LN($AA$160))^5+AH161*(LN($AA$160))^6+AI161*(LN($AA$160))^7)</f>
        <v>#NUM!</v>
      </c>
      <c r="AK161" s="236">
        <v>4.8000000000000001E-2</v>
      </c>
      <c r="AL161" s="237">
        <v>0.434</v>
      </c>
      <c r="AM161" s="565"/>
      <c r="AN161" s="566"/>
    </row>
    <row r="162" spans="26:80" x14ac:dyDescent="0.3">
      <c r="Z162" s="292" t="s">
        <v>496</v>
      </c>
      <c r="AA162" s="558"/>
      <c r="AB162" s="294">
        <v>-0.72522922402650636</v>
      </c>
      <c r="AC162" s="295">
        <v>2.7864154579381761</v>
      </c>
      <c r="AD162" s="295">
        <v>-2.1544616795391107</v>
      </c>
      <c r="AE162" s="295">
        <v>-1.3818693474752308</v>
      </c>
      <c r="AF162" s="295">
        <v>-0.52574323849772497</v>
      </c>
      <c r="AG162" s="295">
        <v>1.3331338703206477</v>
      </c>
      <c r="AH162" s="295">
        <v>1.6640900000000001</v>
      </c>
      <c r="AI162" s="296">
        <v>0</v>
      </c>
      <c r="AJ162" s="97" t="e">
        <f>EXP(AB162+AC162*LN($AA$160)+AD162*(LN($AA$160))^2+AE162*(LN($AA$160))^3+AF162*(LN($AA$160))^4+AG162*(LN($AA$160))^5+AH162*(LN($AA$160))^6+AI162*(LN($AA$160))^7)</f>
        <v>#NUM!</v>
      </c>
      <c r="AK162" s="92">
        <v>0.434</v>
      </c>
      <c r="AL162" s="195">
        <v>1.724</v>
      </c>
      <c r="AM162" s="565"/>
      <c r="AN162" s="566"/>
    </row>
    <row r="163" spans="26:80" ht="18.600000000000001" thickBot="1" x14ac:dyDescent="0.45">
      <c r="Z163" s="293" t="s">
        <v>444</v>
      </c>
      <c r="AA163" s="559"/>
      <c r="AB163" s="569" t="s">
        <v>424</v>
      </c>
      <c r="AC163" s="570"/>
      <c r="AD163" s="570"/>
      <c r="AE163" s="570"/>
      <c r="AF163" s="570"/>
      <c r="AG163" s="570"/>
      <c r="AH163" s="570"/>
      <c r="AI163" s="571"/>
      <c r="AJ163" s="174">
        <v>1</v>
      </c>
      <c r="AK163" s="81">
        <v>1.724</v>
      </c>
      <c r="AL163" s="214">
        <v>100000</v>
      </c>
      <c r="AM163" s="567"/>
      <c r="AN163" s="568"/>
    </row>
    <row r="165" spans="26:80" ht="18.600000000000001" thickBot="1" x14ac:dyDescent="0.35">
      <c r="Z165" s="61" t="s">
        <v>445</v>
      </c>
      <c r="AA165" s="243"/>
      <c r="AB165" s="243"/>
      <c r="AC165" s="243"/>
      <c r="AD165" s="243"/>
      <c r="AE165" s="243"/>
      <c r="AF165" s="243"/>
      <c r="AG165" s="243"/>
      <c r="AH165" s="243"/>
      <c r="AI165" s="53"/>
    </row>
    <row r="166" spans="26:80" ht="16.8" thickBot="1" x14ac:dyDescent="0.4">
      <c r="Z166" s="572" t="s">
        <v>417</v>
      </c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4"/>
    </row>
    <row r="167" spans="26:80" ht="16.2" thickBot="1" x14ac:dyDescent="0.35">
      <c r="Z167" s="542" t="s">
        <v>330</v>
      </c>
      <c r="AA167" s="544" t="s">
        <v>416</v>
      </c>
      <c r="AB167" s="546" t="s">
        <v>415</v>
      </c>
      <c r="AC167" s="547"/>
      <c r="AD167" s="547"/>
      <c r="AE167" s="547"/>
      <c r="AF167" s="547"/>
      <c r="AG167" s="547"/>
      <c r="AH167" s="547"/>
      <c r="AI167" s="548"/>
      <c r="AJ167" s="549" t="s">
        <v>397</v>
      </c>
      <c r="AK167" s="551" t="s">
        <v>267</v>
      </c>
      <c r="AL167" s="552"/>
      <c r="AM167" s="553" t="s">
        <v>399</v>
      </c>
      <c r="AN167" s="554"/>
    </row>
    <row r="168" spans="26:80" ht="16.2" thickBot="1" x14ac:dyDescent="0.35">
      <c r="Z168" s="543"/>
      <c r="AA168" s="545"/>
      <c r="AB168" s="228" t="s">
        <v>87</v>
      </c>
      <c r="AC168" s="229" t="s">
        <v>88</v>
      </c>
      <c r="AD168" s="229" t="s">
        <v>89</v>
      </c>
      <c r="AE168" s="229" t="s">
        <v>37</v>
      </c>
      <c r="AF168" s="229" t="s">
        <v>90</v>
      </c>
      <c r="AG168" s="229" t="s">
        <v>91</v>
      </c>
      <c r="AH168" s="229" t="s">
        <v>92</v>
      </c>
      <c r="AI168" s="230" t="s">
        <v>93</v>
      </c>
      <c r="AJ168" s="550"/>
      <c r="AK168" s="81" t="s">
        <v>421</v>
      </c>
      <c r="AL168" s="81" t="s">
        <v>422</v>
      </c>
      <c r="AM168" s="555"/>
      <c r="AN168" s="556"/>
    </row>
    <row r="169" spans="26:80" ht="16.2" thickTop="1" x14ac:dyDescent="0.3">
      <c r="Z169" s="292" t="s">
        <v>446</v>
      </c>
      <c r="AA169" s="680">
        <f>$Q$83</f>
        <v>49.31156135724909</v>
      </c>
      <c r="AB169" s="560" t="s">
        <v>423</v>
      </c>
      <c r="AC169" s="561"/>
      <c r="AD169" s="561"/>
      <c r="AE169" s="561"/>
      <c r="AF169" s="561"/>
      <c r="AG169" s="561"/>
      <c r="AH169" s="561"/>
      <c r="AI169" s="562"/>
      <c r="AJ169" s="235">
        <v>1.0000000000000001E-5</v>
      </c>
      <c r="AK169" s="236">
        <v>0</v>
      </c>
      <c r="AL169" s="237">
        <v>2.3E-2</v>
      </c>
      <c r="AM169" s="563">
        <f>IF(OR($AA$169&lt;AK169,$AA$169&gt;AL171),"Out of Range",INDEX(AJ169:AJ171,MATCH(AA169,AK169:AK171,1)))</f>
        <v>1</v>
      </c>
      <c r="AN169" s="564"/>
    </row>
    <row r="170" spans="26:80" x14ac:dyDescent="0.3">
      <c r="Z170" s="292" t="s">
        <v>497</v>
      </c>
      <c r="AA170" s="558"/>
      <c r="AB170" s="294">
        <v>-0.53694272020917211</v>
      </c>
      <c r="AC170" s="295">
        <v>1.7192432088713674</v>
      </c>
      <c r="AD170" s="295">
        <v>-1.3822044265008886</v>
      </c>
      <c r="AE170" s="295">
        <v>-0.14202934090460029</v>
      </c>
      <c r="AF170" s="295">
        <v>0.16467880852576811</v>
      </c>
      <c r="AG170" s="295">
        <v>7.2838745572220406E-2</v>
      </c>
      <c r="AH170" s="295">
        <v>9.7176899999999993E-3</v>
      </c>
      <c r="AI170" s="296">
        <v>0</v>
      </c>
      <c r="AJ170" s="97">
        <f>EXP(AB170+AC170*LN($AA$169)+AD170*(LN($AA$169))^2+AE170*(LN($AA$169))^3+AF170*(LN($AA$169))^4+AG170*(LN($AA$169))^5+AH170*(LN($AA$169))^6+AI170*(LN($AA$169))^7)</f>
        <v>4.9914422723505578E+49</v>
      </c>
      <c r="AK170" s="236">
        <v>2.3E-2</v>
      </c>
      <c r="AL170" s="237">
        <v>2</v>
      </c>
      <c r="AM170" s="565"/>
      <c r="AN170" s="566"/>
    </row>
    <row r="171" spans="26:80" ht="18.600000000000001" thickBot="1" x14ac:dyDescent="0.45">
      <c r="Z171" s="293" t="s">
        <v>448</v>
      </c>
      <c r="AA171" s="559"/>
      <c r="AB171" s="569" t="s">
        <v>424</v>
      </c>
      <c r="AC171" s="570"/>
      <c r="AD171" s="570"/>
      <c r="AE171" s="570"/>
      <c r="AF171" s="570"/>
      <c r="AG171" s="570"/>
      <c r="AH171" s="570"/>
      <c r="AI171" s="571"/>
      <c r="AJ171" s="174">
        <v>1</v>
      </c>
      <c r="AK171" s="81">
        <v>2</v>
      </c>
      <c r="AL171" s="214">
        <v>100000</v>
      </c>
      <c r="AM171" s="567"/>
      <c r="AN171" s="568"/>
    </row>
    <row r="173" spans="26:80" ht="16.2" thickBot="1" x14ac:dyDescent="0.35">
      <c r="Z173" s="61" t="s">
        <v>449</v>
      </c>
      <c r="AA173" s="243"/>
      <c r="AB173" s="243"/>
      <c r="AC173" s="243"/>
      <c r="AD173" s="243"/>
      <c r="AE173" s="243"/>
      <c r="AF173" s="243"/>
      <c r="AG173" s="243"/>
      <c r="AH173" s="243"/>
      <c r="AI173" s="53"/>
    </row>
    <row r="174" spans="26:80" ht="16.2" thickBot="1" x14ac:dyDescent="0.35">
      <c r="Z174" s="572" t="s">
        <v>452</v>
      </c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4"/>
      <c r="CA174" s="105" t="s">
        <v>107</v>
      </c>
      <c r="CB174" s="105">
        <v>27</v>
      </c>
    </row>
    <row r="175" spans="26:80" ht="16.2" thickBot="1" x14ac:dyDescent="0.35">
      <c r="Z175" s="542" t="s">
        <v>330</v>
      </c>
      <c r="AA175" s="544" t="s">
        <v>416</v>
      </c>
      <c r="AB175" s="546" t="s">
        <v>450</v>
      </c>
      <c r="AC175" s="547"/>
      <c r="AD175" s="547"/>
      <c r="AE175" s="547"/>
      <c r="AF175" s="547"/>
      <c r="AG175" s="547"/>
      <c r="AH175" s="547"/>
      <c r="AI175" s="548"/>
      <c r="AJ175" s="549" t="s">
        <v>397</v>
      </c>
      <c r="AK175" s="551" t="s">
        <v>267</v>
      </c>
      <c r="AL175" s="552"/>
      <c r="AM175" s="553" t="s">
        <v>399</v>
      </c>
      <c r="AN175" s="554"/>
      <c r="CA175" s="105">
        <v>1</v>
      </c>
    </row>
    <row r="176" spans="26:80" ht="16.2" thickBot="1" x14ac:dyDescent="0.35">
      <c r="Z176" s="543"/>
      <c r="AA176" s="545"/>
      <c r="AB176" s="228" t="s">
        <v>87</v>
      </c>
      <c r="AC176" s="229" t="s">
        <v>88</v>
      </c>
      <c r="AD176" s="229" t="s">
        <v>89</v>
      </c>
      <c r="AE176" s="229" t="s">
        <v>37</v>
      </c>
      <c r="AF176" s="229" t="s">
        <v>90</v>
      </c>
      <c r="AG176" s="229" t="s">
        <v>91</v>
      </c>
      <c r="AH176" s="229" t="s">
        <v>92</v>
      </c>
      <c r="AI176" s="230" t="s">
        <v>93</v>
      </c>
      <c r="AJ176" s="550"/>
      <c r="AK176" s="81" t="s">
        <v>421</v>
      </c>
      <c r="AL176" s="81" t="s">
        <v>422</v>
      </c>
      <c r="AM176" s="555"/>
      <c r="AN176" s="556"/>
      <c r="BW176" s="57" t="s">
        <v>105</v>
      </c>
      <c r="BX176" s="57">
        <v>3</v>
      </c>
      <c r="CA176" s="105">
        <v>2</v>
      </c>
    </row>
    <row r="177" spans="26:79" ht="16.8" thickTop="1" thickBot="1" x14ac:dyDescent="0.35">
      <c r="Z177" s="279" t="s">
        <v>498</v>
      </c>
      <c r="AA177" s="357">
        <f>$Q$83</f>
        <v>49.31156135724909</v>
      </c>
      <c r="AB177" s="280">
        <v>4.2257999999999996</v>
      </c>
      <c r="AC177" s="281">
        <v>-0.44829000000000002</v>
      </c>
      <c r="AD177" s="281">
        <v>-0.23285</v>
      </c>
      <c r="AE177" s="260">
        <v>6.7410999999999999E-2</v>
      </c>
      <c r="AF177" s="260">
        <v>-7.0073999999999996E-3</v>
      </c>
      <c r="AG177" s="260">
        <v>2.4552999999999999E-4</v>
      </c>
      <c r="AH177" s="260">
        <v>0</v>
      </c>
      <c r="AI177" s="261">
        <v>0</v>
      </c>
      <c r="AJ177" s="174">
        <f>IF(AA177="Out of Range","Out of Range",EXP(AB177+AC177*LN($AA$177)+AD177*(LN($AA$177))^2+AE177*(LN($AA$177))^3+AF177*(LN($AA$177))^4+AG177*(LN($AA$177))^5+AH177*(LN($AA$177))^6+AI177*(LN($AA$177))^7))</f>
        <v>4.6460861386227226</v>
      </c>
      <c r="AK177" s="81">
        <v>0</v>
      </c>
      <c r="AL177" s="214">
        <v>100000</v>
      </c>
      <c r="AM177" s="540">
        <f>AJ177</f>
        <v>4.6460861386227226</v>
      </c>
      <c r="AN177" s="541"/>
      <c r="BW177" s="57" t="s">
        <v>106</v>
      </c>
      <c r="BX177" s="57">
        <f>BX176^3</f>
        <v>27</v>
      </c>
      <c r="CA177" s="105">
        <v>3</v>
      </c>
    </row>
    <row r="178" spans="26:79" x14ac:dyDescent="0.3">
      <c r="BR178" s="109"/>
      <c r="BS178" s="109"/>
      <c r="BT178" s="109"/>
      <c r="BU178" s="109"/>
      <c r="BV178" s="154"/>
      <c r="BW178" s="154"/>
      <c r="CA178" s="105">
        <v>4</v>
      </c>
    </row>
    <row r="179" spans="26:79" x14ac:dyDescent="0.3">
      <c r="BR179" s="109"/>
      <c r="BS179" s="109"/>
      <c r="BT179" s="109"/>
      <c r="BU179" s="109"/>
      <c r="BV179" s="154"/>
      <c r="BW179" s="154"/>
      <c r="CA179" s="105">
        <v>5</v>
      </c>
    </row>
    <row r="180" spans="26:79" x14ac:dyDescent="0.3">
      <c r="BR180" s="109"/>
      <c r="BS180" s="109"/>
      <c r="BT180" s="109"/>
      <c r="BU180" s="109"/>
      <c r="BV180" s="154"/>
      <c r="BW180" s="154"/>
      <c r="CA180" s="105">
        <v>6</v>
      </c>
    </row>
    <row r="181" spans="26:79" x14ac:dyDescent="0.3">
      <c r="BR181" s="109"/>
      <c r="BS181" s="297"/>
      <c r="BT181" s="298"/>
      <c r="BU181" s="298"/>
      <c r="BV181" s="154"/>
      <c r="BW181" s="154"/>
    </row>
    <row r="182" spans="26:79" x14ac:dyDescent="0.3">
      <c r="BR182" s="109"/>
      <c r="BS182" s="109"/>
      <c r="BT182" s="109"/>
      <c r="BU182" s="109"/>
      <c r="BV182" s="154"/>
      <c r="BW182" s="154"/>
    </row>
    <row r="183" spans="26:79" x14ac:dyDescent="0.3">
      <c r="BR183" s="109"/>
      <c r="BS183" s="109"/>
      <c r="BT183" s="299"/>
      <c r="BU183" s="299"/>
      <c r="BV183" s="299"/>
      <c r="BW183" s="154"/>
    </row>
    <row r="184" spans="26:79" x14ac:dyDescent="0.3">
      <c r="BR184" s="109"/>
      <c r="BS184" s="109"/>
      <c r="BT184" s="109"/>
      <c r="BU184" s="109"/>
      <c r="BV184" s="154"/>
      <c r="BW184" s="154"/>
    </row>
    <row r="189" spans="26:79" ht="16.2" x14ac:dyDescent="0.35">
      <c r="BQ189" s="109"/>
      <c r="BR189" s="300"/>
      <c r="BS189" s="300"/>
      <c r="BT189" s="300"/>
      <c r="BU189" s="301"/>
      <c r="BV189" s="301"/>
      <c r="BW189" s="300"/>
      <c r="BX189" s="300"/>
      <c r="BY189" s="300"/>
    </row>
    <row r="190" spans="26:79" x14ac:dyDescent="0.3">
      <c r="BQ190" s="109"/>
      <c r="BR190" s="109"/>
      <c r="BS190" s="109"/>
      <c r="BT190" s="109"/>
      <c r="BU190" s="109"/>
      <c r="BV190" s="302"/>
      <c r="BW190" s="302"/>
      <c r="BX190" s="302"/>
      <c r="BY190" s="191"/>
    </row>
    <row r="191" spans="26:79" ht="16.2" x14ac:dyDescent="0.35">
      <c r="BQ191" s="109"/>
      <c r="BR191" s="300"/>
      <c r="BS191" s="300"/>
      <c r="BT191" s="300"/>
      <c r="BU191" s="301"/>
      <c r="BV191" s="301"/>
      <c r="BW191" s="300"/>
      <c r="BX191" s="300"/>
      <c r="BY191" s="300"/>
    </row>
    <row r="192" spans="26:79" x14ac:dyDescent="0.3">
      <c r="BQ192" s="109"/>
      <c r="BR192" s="109"/>
      <c r="BS192" s="109"/>
      <c r="BT192" s="109"/>
      <c r="BU192" s="109"/>
      <c r="BV192" s="302"/>
      <c r="BW192" s="302"/>
      <c r="BX192" s="302"/>
      <c r="BY192" s="191"/>
    </row>
    <row r="194" spans="82:82" x14ac:dyDescent="0.3">
      <c r="CD194" s="303"/>
    </row>
    <row r="248" spans="68:81" x14ac:dyDescent="0.3">
      <c r="CC248" s="54"/>
    </row>
    <row r="254" spans="68:81" x14ac:dyDescent="0.3">
      <c r="BP254" s="109"/>
      <c r="BQ254" s="109"/>
      <c r="BR254" s="109"/>
      <c r="BS254" s="109"/>
      <c r="BT254" s="109"/>
      <c r="BU254" s="109"/>
      <c r="BV254" s="302"/>
      <c r="BW254" s="302"/>
      <c r="BX254" s="302"/>
      <c r="BY254" s="191"/>
      <c r="BZ254" s="191"/>
    </row>
    <row r="255" spans="68:81" x14ac:dyDescent="0.3">
      <c r="BP255" s="109"/>
      <c r="BQ255" s="109"/>
      <c r="BR255" s="109"/>
      <c r="BS255" s="109"/>
      <c r="BT255" s="109"/>
      <c r="BU255" s="109"/>
      <c r="BV255" s="302"/>
      <c r="BW255" s="302"/>
      <c r="BX255" s="302"/>
      <c r="BY255" s="191"/>
      <c r="BZ255" s="191"/>
    </row>
    <row r="256" spans="68:81" x14ac:dyDescent="0.3">
      <c r="BP256" s="109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4"/>
    </row>
    <row r="257" spans="68:90" x14ac:dyDescent="0.3">
      <c r="BP257" s="109"/>
      <c r="BQ257" s="107"/>
      <c r="BR257" s="109"/>
      <c r="BS257" s="109"/>
      <c r="BT257" s="109"/>
      <c r="BU257" s="109"/>
      <c r="BV257" s="109"/>
      <c r="BW257" s="109"/>
      <c r="BX257" s="302"/>
      <c r="BY257" s="302"/>
      <c r="BZ257" s="302"/>
    </row>
    <row r="258" spans="68:90" ht="16.2" x14ac:dyDescent="0.35">
      <c r="BP258" s="109"/>
      <c r="BQ258" s="108"/>
      <c r="BR258" s="108"/>
      <c r="BS258" s="300"/>
      <c r="BT258" s="300"/>
      <c r="BU258" s="300"/>
      <c r="BV258" s="301"/>
      <c r="BW258" s="301"/>
      <c r="BX258" s="300"/>
      <c r="BY258" s="300"/>
      <c r="BZ258" s="300"/>
    </row>
    <row r="259" spans="68:90" ht="16.2" x14ac:dyDescent="0.35">
      <c r="BP259" s="109"/>
      <c r="BQ259" s="191"/>
      <c r="BR259" s="305"/>
      <c r="BS259" s="305"/>
      <c r="BT259" s="306"/>
      <c r="BU259" s="307"/>
      <c r="BV259" s="307"/>
      <c r="BW259" s="306"/>
      <c r="BX259" s="306"/>
      <c r="BY259" s="302"/>
      <c r="BZ259" s="302"/>
      <c r="CA259" s="191"/>
      <c r="CB259" s="191"/>
      <c r="CC259" s="191"/>
      <c r="CD259" s="191"/>
      <c r="CE259" s="191"/>
      <c r="CF259" s="191"/>
      <c r="CG259" s="191"/>
      <c r="CH259" s="191"/>
      <c r="CI259" s="191"/>
      <c r="CJ259" s="191"/>
      <c r="CK259" s="191"/>
      <c r="CL259" s="191"/>
    </row>
    <row r="260" spans="68:90" ht="16.2" x14ac:dyDescent="0.35">
      <c r="BP260" s="109"/>
      <c r="BQ260" s="298"/>
      <c r="BR260" s="298"/>
      <c r="BS260" s="298"/>
      <c r="BT260" s="298"/>
      <c r="BU260" s="300"/>
      <c r="BV260" s="301"/>
      <c r="BW260" s="301"/>
      <c r="BX260" s="301"/>
      <c r="BY260" s="301"/>
      <c r="BZ260" s="300"/>
      <c r="CA260" s="191"/>
      <c r="CB260" s="191"/>
      <c r="CC260" s="191"/>
      <c r="CD260" s="191"/>
      <c r="CE260" s="191"/>
      <c r="CF260" s="191"/>
      <c r="CG260" s="191"/>
      <c r="CH260" s="191"/>
      <c r="CI260" s="191"/>
      <c r="CJ260" s="191"/>
      <c r="CK260" s="191"/>
      <c r="CL260" s="191"/>
    </row>
    <row r="261" spans="68:90" x14ac:dyDescent="0.3">
      <c r="BP261" s="109"/>
      <c r="BQ261" s="109"/>
      <c r="BR261" s="109"/>
      <c r="BS261" s="109"/>
      <c r="BT261" s="109"/>
      <c r="BU261" s="109"/>
      <c r="BV261" s="302"/>
      <c r="BW261" s="302"/>
      <c r="BX261" s="302"/>
      <c r="BY261" s="191"/>
      <c r="BZ261" s="191"/>
      <c r="CA261" s="191"/>
      <c r="CB261" s="191"/>
      <c r="CC261" s="191"/>
      <c r="CD261" s="191"/>
      <c r="CE261" s="191"/>
      <c r="CF261" s="191"/>
      <c r="CG261" s="191"/>
      <c r="CH261" s="191"/>
      <c r="CI261" s="191"/>
      <c r="CJ261" s="191"/>
      <c r="CK261" s="191"/>
      <c r="CL261" s="191"/>
    </row>
    <row r="262" spans="68:90" x14ac:dyDescent="0.3">
      <c r="BP262" s="109"/>
      <c r="BQ262" s="109"/>
      <c r="BR262" s="109"/>
      <c r="BS262" s="109"/>
      <c r="BT262" s="109"/>
      <c r="BU262" s="109"/>
      <c r="BV262" s="302"/>
      <c r="BW262" s="302"/>
      <c r="BX262" s="302"/>
      <c r="BY262" s="191"/>
      <c r="BZ262" s="191"/>
      <c r="CA262" s="191"/>
      <c r="CB262" s="191"/>
      <c r="CC262" s="191"/>
      <c r="CD262" s="191"/>
      <c r="CE262" s="191"/>
      <c r="CF262" s="191"/>
      <c r="CG262" s="191"/>
      <c r="CH262" s="191"/>
      <c r="CI262" s="191"/>
      <c r="CJ262" s="191"/>
      <c r="CK262" s="191"/>
      <c r="CL262" s="191"/>
    </row>
    <row r="263" spans="68:90" x14ac:dyDescent="0.3">
      <c r="BP263" s="109"/>
      <c r="BQ263" s="109"/>
      <c r="BR263" s="109"/>
      <c r="BS263" s="109"/>
      <c r="BT263" s="109"/>
      <c r="BU263" s="109"/>
      <c r="BV263" s="302"/>
      <c r="BW263" s="302"/>
      <c r="BX263" s="302"/>
      <c r="BY263" s="191"/>
      <c r="BZ263" s="191"/>
      <c r="CA263" s="191"/>
      <c r="CB263" s="191"/>
      <c r="CC263" s="191"/>
      <c r="CD263" s="191"/>
      <c r="CE263" s="191"/>
      <c r="CF263" s="191"/>
      <c r="CG263" s="191"/>
      <c r="CH263" s="191"/>
      <c r="CI263" s="191"/>
      <c r="CJ263" s="191"/>
      <c r="CK263" s="191"/>
      <c r="CL263" s="191"/>
    </row>
    <row r="264" spans="68:90" x14ac:dyDescent="0.3">
      <c r="BP264" s="109"/>
      <c r="BQ264" s="108"/>
      <c r="BR264" s="108"/>
      <c r="BS264" s="109"/>
      <c r="BT264" s="109"/>
      <c r="BU264" s="109"/>
      <c r="BV264" s="302"/>
      <c r="BW264" s="302"/>
      <c r="BX264" s="302"/>
      <c r="BY264" s="191"/>
      <c r="BZ264" s="191"/>
      <c r="CA264" s="191"/>
      <c r="CB264" s="191"/>
      <c r="CC264" s="191"/>
      <c r="CD264" s="191"/>
      <c r="CE264" s="191"/>
      <c r="CF264" s="191"/>
      <c r="CG264" s="191"/>
      <c r="CH264" s="191"/>
      <c r="CI264" s="191"/>
      <c r="CJ264" s="191"/>
      <c r="CK264" s="191"/>
      <c r="CL264" s="191"/>
    </row>
    <row r="265" spans="68:90" x14ac:dyDescent="0.3">
      <c r="BP265" s="109"/>
      <c r="BQ265" s="109"/>
      <c r="BR265" s="109"/>
      <c r="BS265" s="109"/>
      <c r="BT265" s="109"/>
      <c r="BU265" s="109"/>
      <c r="BV265" s="302"/>
      <c r="BW265" s="302"/>
      <c r="BX265" s="302"/>
      <c r="BY265" s="191"/>
      <c r="BZ265" s="191"/>
      <c r="CA265" s="304"/>
      <c r="CB265" s="304"/>
      <c r="CC265" s="304"/>
      <c r="CD265" s="304"/>
      <c r="CE265" s="304"/>
      <c r="CF265" s="304"/>
      <c r="CG265" s="304"/>
      <c r="CH265" s="304"/>
      <c r="CI265" s="304"/>
      <c r="CJ265" s="304"/>
      <c r="CK265" s="191"/>
      <c r="CL265" s="191"/>
    </row>
    <row r="266" spans="68:90" x14ac:dyDescent="0.3">
      <c r="BP266" s="109"/>
      <c r="BQ266" s="109"/>
      <c r="BR266" s="109"/>
      <c r="BS266" s="109"/>
      <c r="BT266" s="109"/>
      <c r="BU266" s="109"/>
      <c r="BV266" s="302"/>
      <c r="BW266" s="302"/>
      <c r="BX266" s="302"/>
      <c r="BY266" s="191"/>
      <c r="BZ266" s="191"/>
      <c r="CA266" s="107"/>
      <c r="CB266" s="109"/>
      <c r="CC266" s="109"/>
      <c r="CD266" s="109"/>
      <c r="CE266" s="109"/>
      <c r="CF266" s="109"/>
      <c r="CG266" s="109"/>
      <c r="CH266" s="302"/>
      <c r="CI266" s="302"/>
      <c r="CJ266" s="302"/>
      <c r="CK266" s="191"/>
      <c r="CL266" s="191"/>
    </row>
    <row r="267" spans="68:90" ht="16.2" x14ac:dyDescent="0.35">
      <c r="BP267" s="109"/>
      <c r="BQ267" s="308"/>
      <c r="BR267" s="304"/>
      <c r="BS267" s="304"/>
      <c r="BT267" s="304"/>
      <c r="BU267" s="304"/>
      <c r="BV267" s="304"/>
      <c r="BW267" s="304"/>
      <c r="BX267" s="304"/>
      <c r="BY267" s="304"/>
      <c r="BZ267" s="304"/>
      <c r="CA267" s="108"/>
      <c r="CB267" s="108"/>
      <c r="CC267" s="300"/>
      <c r="CD267" s="300"/>
      <c r="CE267" s="300"/>
      <c r="CF267" s="301"/>
      <c r="CG267" s="301"/>
      <c r="CH267" s="300"/>
      <c r="CI267" s="300"/>
      <c r="CJ267" s="300"/>
      <c r="CK267" s="191"/>
      <c r="CL267" s="191"/>
    </row>
    <row r="268" spans="68:90" ht="16.2" x14ac:dyDescent="0.35">
      <c r="BP268" s="109"/>
      <c r="BQ268" s="109"/>
      <c r="BR268" s="109"/>
      <c r="BS268" s="109"/>
      <c r="BT268" s="109"/>
      <c r="BU268" s="109"/>
      <c r="BV268" s="302"/>
      <c r="BW268" s="302"/>
      <c r="BX268" s="302"/>
      <c r="BY268" s="191"/>
      <c r="BZ268" s="191"/>
      <c r="CA268" s="191"/>
      <c r="CB268" s="305"/>
      <c r="CC268" s="305"/>
      <c r="CD268" s="306"/>
      <c r="CE268" s="307"/>
      <c r="CF268" s="307"/>
      <c r="CG268" s="306"/>
      <c r="CH268" s="306"/>
      <c r="CI268" s="302"/>
      <c r="CJ268" s="302"/>
      <c r="CK268" s="191"/>
      <c r="CL268" s="191"/>
    </row>
    <row r="269" spans="68:90" ht="16.2" x14ac:dyDescent="0.35">
      <c r="BP269" s="109"/>
      <c r="BQ269" s="109"/>
      <c r="BR269" s="109"/>
      <c r="BS269" s="109"/>
      <c r="BT269" s="109"/>
      <c r="BU269" s="109"/>
      <c r="BV269" s="302"/>
      <c r="BW269" s="302"/>
      <c r="BX269" s="302"/>
      <c r="BY269" s="191"/>
      <c r="BZ269" s="191"/>
      <c r="CA269" s="298"/>
      <c r="CB269" s="298"/>
      <c r="CC269" s="298"/>
      <c r="CD269" s="298"/>
      <c r="CE269" s="300"/>
      <c r="CF269" s="301"/>
      <c r="CG269" s="301"/>
      <c r="CH269" s="301"/>
      <c r="CI269" s="301"/>
      <c r="CJ269" s="300"/>
      <c r="CK269" s="191"/>
      <c r="CL269" s="191"/>
    </row>
    <row r="270" spans="68:90" ht="16.2" x14ac:dyDescent="0.35">
      <c r="BP270" s="109"/>
      <c r="BQ270" s="109"/>
      <c r="BR270" s="109"/>
      <c r="BS270" s="109"/>
      <c r="BT270" s="109"/>
      <c r="BU270" s="109"/>
      <c r="BV270" s="302"/>
      <c r="BW270" s="302"/>
      <c r="BX270" s="302"/>
      <c r="BY270" s="191"/>
      <c r="BZ270" s="191"/>
      <c r="CA270" s="191"/>
      <c r="CB270" s="297"/>
      <c r="CC270" s="309"/>
      <c r="CD270" s="298"/>
      <c r="CE270" s="298"/>
      <c r="CF270" s="310"/>
      <c r="CG270" s="72"/>
      <c r="CH270" s="72"/>
      <c r="CI270" s="311"/>
      <c r="CJ270" s="191"/>
      <c r="CK270" s="191"/>
      <c r="CL270" s="191"/>
    </row>
    <row r="271" spans="68:90" ht="16.2" x14ac:dyDescent="0.35">
      <c r="BP271" s="109"/>
      <c r="BQ271" s="109"/>
      <c r="BR271" s="305"/>
      <c r="BS271" s="305"/>
      <c r="BT271" s="306"/>
      <c r="BU271" s="307"/>
      <c r="BV271" s="307"/>
      <c r="BW271" s="306"/>
      <c r="BX271" s="306"/>
      <c r="BY271" s="312"/>
      <c r="BZ271" s="191"/>
      <c r="CA271" s="191"/>
      <c r="CB271" s="191"/>
      <c r="CC271" s="191"/>
      <c r="CD271" s="191"/>
      <c r="CE271" s="191"/>
      <c r="CF271" s="191"/>
      <c r="CG271" s="191"/>
      <c r="CH271" s="191"/>
      <c r="CI271" s="191"/>
      <c r="CJ271" s="191"/>
      <c r="CK271" s="191"/>
      <c r="CL271" s="191"/>
    </row>
    <row r="272" spans="68:90" ht="16.2" x14ac:dyDescent="0.35">
      <c r="BP272" s="109"/>
      <c r="BQ272" s="109"/>
      <c r="BR272" s="297"/>
      <c r="BS272" s="313"/>
      <c r="BT272" s="313"/>
      <c r="BU272" s="300"/>
      <c r="BV272" s="299"/>
      <c r="BW272" s="314"/>
      <c r="BX272" s="314"/>
      <c r="BY272" s="300"/>
      <c r="BZ272" s="191"/>
      <c r="CA272" s="191"/>
      <c r="CB272" s="191"/>
      <c r="CC272" s="191"/>
      <c r="CD272" s="191"/>
      <c r="CE272" s="191"/>
      <c r="CF272" s="191"/>
      <c r="CG272" s="191"/>
      <c r="CH272" s="191"/>
      <c r="CI272" s="191"/>
      <c r="CJ272" s="191"/>
      <c r="CK272" s="191"/>
      <c r="CL272" s="191"/>
    </row>
    <row r="273" spans="78:90" x14ac:dyDescent="0.3">
      <c r="BZ273" s="191"/>
      <c r="CA273" s="191"/>
      <c r="CB273" s="191"/>
      <c r="CC273" s="191"/>
      <c r="CD273" s="191"/>
      <c r="CE273" s="191"/>
      <c r="CF273" s="191"/>
      <c r="CG273" s="191"/>
      <c r="CH273" s="191"/>
      <c r="CI273" s="191"/>
      <c r="CJ273" s="191"/>
      <c r="CK273" s="191"/>
      <c r="CL273" s="191"/>
    </row>
  </sheetData>
  <sheetProtection password="E5C3" sheet="1" objects="1" scenarios="1"/>
  <mergeCells count="285">
    <mergeCell ref="Z46:AB46"/>
    <mergeCell ref="AW17:AZ17"/>
    <mergeCell ref="BH16:BK16"/>
    <mergeCell ref="BH17:BK17"/>
    <mergeCell ref="AY7:BA7"/>
    <mergeCell ref="AW9:AX9"/>
    <mergeCell ref="AY9:BA9"/>
    <mergeCell ref="BH10:BK10"/>
    <mergeCell ref="BI13:BJ13"/>
    <mergeCell ref="AW11:AZ11"/>
    <mergeCell ref="BH11:BK11"/>
    <mergeCell ref="BJ12:BK12"/>
    <mergeCell ref="AW10:AZ10"/>
    <mergeCell ref="BH9:BI9"/>
    <mergeCell ref="BJ9:BL9"/>
    <mergeCell ref="U121:V121"/>
    <mergeCell ref="Q129:R129"/>
    <mergeCell ref="AM111:AN111"/>
    <mergeCell ref="Z115:AN115"/>
    <mergeCell ref="Z116:Z117"/>
    <mergeCell ref="AA116:AA117"/>
    <mergeCell ref="AB116:AI116"/>
    <mergeCell ref="AJ116:AJ117"/>
    <mergeCell ref="AK116:AL116"/>
    <mergeCell ref="AM116:AN117"/>
    <mergeCell ref="Q115:R115"/>
    <mergeCell ref="AM118:AN119"/>
    <mergeCell ref="Z122:AN122"/>
    <mergeCell ref="Z123:Z124"/>
    <mergeCell ref="AA123:AA124"/>
    <mergeCell ref="AB123:AI123"/>
    <mergeCell ref="AJ123:AJ124"/>
    <mergeCell ref="AK123:AL123"/>
    <mergeCell ref="AM123:AN124"/>
    <mergeCell ref="Q117:R117"/>
    <mergeCell ref="C2:L2"/>
    <mergeCell ref="C3:L3"/>
    <mergeCell ref="Z3:Z4"/>
    <mergeCell ref="AA3:AA4"/>
    <mergeCell ref="AB3:AB4"/>
    <mergeCell ref="AC3:AI3"/>
    <mergeCell ref="K4:L4"/>
    <mergeCell ref="AJ94:AJ95"/>
    <mergeCell ref="AK94:AL94"/>
    <mergeCell ref="V86:W88"/>
    <mergeCell ref="AB94:AI94"/>
    <mergeCell ref="E5:F5"/>
    <mergeCell ref="Z5:AP5"/>
    <mergeCell ref="K9:L9"/>
    <mergeCell ref="Z27:AB28"/>
    <mergeCell ref="AC27:AI27"/>
    <mergeCell ref="AJ27:AJ28"/>
    <mergeCell ref="Z15:AP15"/>
    <mergeCell ref="E9:F9"/>
    <mergeCell ref="AK27:AL27"/>
    <mergeCell ref="AM27:AN27"/>
    <mergeCell ref="AO27:AO28"/>
    <mergeCell ref="AP27:AP28"/>
    <mergeCell ref="D23:E23"/>
    <mergeCell ref="AW6:AX6"/>
    <mergeCell ref="AY6:BA6"/>
    <mergeCell ref="E7:F7"/>
    <mergeCell ref="E8:F8"/>
    <mergeCell ref="BF3:BN3"/>
    <mergeCell ref="E4:F4"/>
    <mergeCell ref="AW5:AX5"/>
    <mergeCell ref="AY5:BA5"/>
    <mergeCell ref="BH5:BI5"/>
    <mergeCell ref="AJ3:AJ4"/>
    <mergeCell ref="AK3:AL3"/>
    <mergeCell ref="AM3:AN3"/>
    <mergeCell ref="AO3:AO4"/>
    <mergeCell ref="AP3:AP4"/>
    <mergeCell ref="BJ5:BL5"/>
    <mergeCell ref="BJ6:BL6"/>
    <mergeCell ref="BJ7:BL7"/>
    <mergeCell ref="BH6:BI6"/>
    <mergeCell ref="AW7:AX7"/>
    <mergeCell ref="K5:L5"/>
    <mergeCell ref="AW8:AX8"/>
    <mergeCell ref="AY8:BA8"/>
    <mergeCell ref="BH8:BI8"/>
    <mergeCell ref="K8:L8"/>
    <mergeCell ref="Z54:AB54"/>
    <mergeCell ref="Z59:Z60"/>
    <mergeCell ref="AA77:AA79"/>
    <mergeCell ref="Z58:AN58"/>
    <mergeCell ref="AB59:AI59"/>
    <mergeCell ref="Z66:AN66"/>
    <mergeCell ref="AA59:AA60"/>
    <mergeCell ref="AJ59:AJ60"/>
    <mergeCell ref="AK59:AL59"/>
    <mergeCell ref="AM59:AN60"/>
    <mergeCell ref="Z74:AN74"/>
    <mergeCell ref="Z67:Z68"/>
    <mergeCell ref="Z75:Z76"/>
    <mergeCell ref="AA75:AA76"/>
    <mergeCell ref="AB75:AI75"/>
    <mergeCell ref="AJ75:AJ76"/>
    <mergeCell ref="AK75:AL75"/>
    <mergeCell ref="AM75:AN76"/>
    <mergeCell ref="AA67:AA68"/>
    <mergeCell ref="AK67:AL67"/>
    <mergeCell ref="AA61:AA63"/>
    <mergeCell ref="AM61:AN63"/>
    <mergeCell ref="AB63:AI63"/>
    <mergeCell ref="AB67:AI67"/>
    <mergeCell ref="V77:W79"/>
    <mergeCell ref="AE88:AI88"/>
    <mergeCell ref="Z93:AN93"/>
    <mergeCell ref="Z94:Z95"/>
    <mergeCell ref="AA94:AA95"/>
    <mergeCell ref="AA118:AA119"/>
    <mergeCell ref="AM77:AN79"/>
    <mergeCell ref="AM94:AN95"/>
    <mergeCell ref="AA96:AA99"/>
    <mergeCell ref="AM96:AN99"/>
    <mergeCell ref="AM85:AN88"/>
    <mergeCell ref="AJ109:AJ110"/>
    <mergeCell ref="AK109:AL109"/>
    <mergeCell ref="AM109:AN110"/>
    <mergeCell ref="AA103:AA104"/>
    <mergeCell ref="AB103:AI103"/>
    <mergeCell ref="AJ103:AJ104"/>
    <mergeCell ref="AK103:AL103"/>
    <mergeCell ref="AM103:AN104"/>
    <mergeCell ref="AM105:AN105"/>
    <mergeCell ref="Z108:AN108"/>
    <mergeCell ref="Z83:Z84"/>
    <mergeCell ref="AA83:AA84"/>
    <mergeCell ref="AB83:AI83"/>
    <mergeCell ref="AJ67:AJ68"/>
    <mergeCell ref="AM125:AN127"/>
    <mergeCell ref="AB127:AI127"/>
    <mergeCell ref="Z102:AN102"/>
    <mergeCell ref="Z103:Z104"/>
    <mergeCell ref="AA85:AA88"/>
    <mergeCell ref="AB79:AI79"/>
    <mergeCell ref="Z82:AN82"/>
    <mergeCell ref="AM67:AN68"/>
    <mergeCell ref="AA69:AA71"/>
    <mergeCell ref="AM69:AN71"/>
    <mergeCell ref="AM83:AN84"/>
    <mergeCell ref="AJ83:AJ84"/>
    <mergeCell ref="AK83:AL83"/>
    <mergeCell ref="Z109:Z110"/>
    <mergeCell ref="AA109:AA110"/>
    <mergeCell ref="AB109:AI109"/>
    <mergeCell ref="Z130:AN130"/>
    <mergeCell ref="Z131:Z132"/>
    <mergeCell ref="AA131:AA132"/>
    <mergeCell ref="AB131:AI131"/>
    <mergeCell ref="AJ131:AJ132"/>
    <mergeCell ref="AK131:AL131"/>
    <mergeCell ref="AM131:AN132"/>
    <mergeCell ref="AA125:AA127"/>
    <mergeCell ref="AB125:AI125"/>
    <mergeCell ref="AA133:AA136"/>
    <mergeCell ref="AB133:AI133"/>
    <mergeCell ref="AM133:AN136"/>
    <mergeCell ref="AB136:AI136"/>
    <mergeCell ref="Z139:AN139"/>
    <mergeCell ref="Z140:Z141"/>
    <mergeCell ref="AA140:AA141"/>
    <mergeCell ref="AB140:AI140"/>
    <mergeCell ref="AJ140:AJ141"/>
    <mergeCell ref="AK140:AL140"/>
    <mergeCell ref="Z149:Z150"/>
    <mergeCell ref="AA149:AA150"/>
    <mergeCell ref="AB149:AI149"/>
    <mergeCell ref="AJ149:AJ150"/>
    <mergeCell ref="AK149:AL149"/>
    <mergeCell ref="AM149:AN150"/>
    <mergeCell ref="AM140:AN141"/>
    <mergeCell ref="AA142:AA145"/>
    <mergeCell ref="AB142:AI142"/>
    <mergeCell ref="AM142:AN145"/>
    <mergeCell ref="AB145:AI145"/>
    <mergeCell ref="Z148:AN148"/>
    <mergeCell ref="AB163:AI163"/>
    <mergeCell ref="Z166:AN166"/>
    <mergeCell ref="AA151:AA154"/>
    <mergeCell ref="AB151:AI151"/>
    <mergeCell ref="AM151:AN154"/>
    <mergeCell ref="AB154:AI154"/>
    <mergeCell ref="Z157:AN157"/>
    <mergeCell ref="Z158:Z159"/>
    <mergeCell ref="AA158:AA159"/>
    <mergeCell ref="AB158:AI158"/>
    <mergeCell ref="AJ158:AJ159"/>
    <mergeCell ref="AK158:AL158"/>
    <mergeCell ref="AM175:AN176"/>
    <mergeCell ref="AM177:AN177"/>
    <mergeCell ref="BH7:BI7"/>
    <mergeCell ref="BJ8:BL8"/>
    <mergeCell ref="AA169:AA171"/>
    <mergeCell ref="AB169:AI169"/>
    <mergeCell ref="AM169:AN171"/>
    <mergeCell ref="AB171:AI171"/>
    <mergeCell ref="Z174:AN174"/>
    <mergeCell ref="Z175:Z176"/>
    <mergeCell ref="AA175:AA176"/>
    <mergeCell ref="AB175:AI175"/>
    <mergeCell ref="AJ175:AJ176"/>
    <mergeCell ref="AK175:AL175"/>
    <mergeCell ref="Z167:Z168"/>
    <mergeCell ref="AA167:AA168"/>
    <mergeCell ref="AB167:AI167"/>
    <mergeCell ref="AJ167:AJ168"/>
    <mergeCell ref="AK167:AL167"/>
    <mergeCell ref="AM167:AN168"/>
    <mergeCell ref="AM158:AN159"/>
    <mergeCell ref="AA160:AA163"/>
    <mergeCell ref="AB160:AI160"/>
    <mergeCell ref="AM160:AN163"/>
    <mergeCell ref="F52:G52"/>
    <mergeCell ref="F36:G36"/>
    <mergeCell ref="F37:G37"/>
    <mergeCell ref="F38:G38"/>
    <mergeCell ref="F39:G39"/>
    <mergeCell ref="F42:G42"/>
    <mergeCell ref="C18:L18"/>
    <mergeCell ref="C20:E20"/>
    <mergeCell ref="I20:L20"/>
    <mergeCell ref="F49:G49"/>
    <mergeCell ref="F50:G50"/>
    <mergeCell ref="F40:G40"/>
    <mergeCell ref="F41:G41"/>
    <mergeCell ref="F46:G46"/>
    <mergeCell ref="F47:G47"/>
    <mergeCell ref="F48:G48"/>
    <mergeCell ref="F32:G32"/>
    <mergeCell ref="F33:G33"/>
    <mergeCell ref="F34:G34"/>
    <mergeCell ref="F35:G35"/>
    <mergeCell ref="E32:E33"/>
    <mergeCell ref="C31:G31"/>
    <mergeCell ref="C62:D62"/>
    <mergeCell ref="C63:D63"/>
    <mergeCell ref="C64:D64"/>
    <mergeCell ref="AW16:AZ16"/>
    <mergeCell ref="AU3:BC3"/>
    <mergeCell ref="C66:L66"/>
    <mergeCell ref="I31:L31"/>
    <mergeCell ref="I32:L32"/>
    <mergeCell ref="C60:F60"/>
    <mergeCell ref="C61:F61"/>
    <mergeCell ref="G61:L61"/>
    <mergeCell ref="F54:G54"/>
    <mergeCell ref="F55:G55"/>
    <mergeCell ref="F56:G56"/>
    <mergeCell ref="F57:G57"/>
    <mergeCell ref="F58:G58"/>
    <mergeCell ref="G60:L60"/>
    <mergeCell ref="F51:G51"/>
    <mergeCell ref="F53:G53"/>
    <mergeCell ref="F43:G43"/>
    <mergeCell ref="F44:G44"/>
    <mergeCell ref="F45:G45"/>
    <mergeCell ref="F13:L13"/>
    <mergeCell ref="Z49:AB49"/>
    <mergeCell ref="Z50:AB50"/>
    <mergeCell ref="Z51:AB51"/>
    <mergeCell ref="K10:L10"/>
    <mergeCell ref="K11:L11"/>
    <mergeCell ref="Z36:AB36"/>
    <mergeCell ref="Z37:AB37"/>
    <mergeCell ref="Z38:AB38"/>
    <mergeCell ref="Z48:AB48"/>
    <mergeCell ref="Z41:AB41"/>
    <mergeCell ref="F14:L14"/>
    <mergeCell ref="F15:L15"/>
    <mergeCell ref="F16:L16"/>
    <mergeCell ref="Z42:AO42"/>
    <mergeCell ref="Z43:AB43"/>
    <mergeCell ref="Z44:AB44"/>
    <mergeCell ref="Z45:AB45"/>
    <mergeCell ref="Z34:AB34"/>
    <mergeCell ref="Z35:AB35"/>
    <mergeCell ref="Z29:AO29"/>
    <mergeCell ref="Z30:AB30"/>
    <mergeCell ref="Z31:AB31"/>
    <mergeCell ref="Z32:AB32"/>
    <mergeCell ref="Z33:AB33"/>
    <mergeCell ref="Z47:AB47"/>
  </mergeCells>
  <phoneticPr fontId="0" type="noConversion"/>
  <conditionalFormatting sqref="D15:D16 C14:C16">
    <cfRule type="expression" dxfId="2" priority="6" stopIfTrue="1">
      <formula>$T$25&lt;&gt;"Other - User Defined"</formula>
    </cfRule>
  </conditionalFormatting>
  <conditionalFormatting sqref="K8:L9">
    <cfRule type="expression" dxfId="1" priority="4" stopIfTrue="1">
      <formula>$T$27="Altitude (meters)"</formula>
    </cfRule>
  </conditionalFormatting>
  <conditionalFormatting sqref="K10:L11">
    <cfRule type="expression" dxfId="0" priority="3" stopIfTrue="1">
      <formula>$T$27 = "Pressure (kPa)"</formula>
    </cfRule>
  </conditionalFormatting>
  <dataValidations count="6">
    <dataValidation type="decimal" operator="greaterThan" allowBlank="1" showInputMessage="1" showErrorMessage="1" errorTitle="SUMMARY TABLE RANGE LIMITS!" error="Summary Table Range must be greater than 0." sqref="BA16 BL16">
      <formula1>0</formula1>
    </dataValidation>
    <dataValidation type="decimal" operator="greaterThan" allowBlank="1" showInputMessage="1" showErrorMessage="1" errorTitle="NEW RANGE!" error="NEW must be greater than 0." sqref="E9">
      <formula1>0</formula1>
    </dataValidation>
    <dataValidation type="decimal" allowBlank="1" showInputMessage="1" showErrorMessage="1" errorTitle="                ALTITUDE WARNING" error="Out of Range!  _x000a_Altitude must be between -500 and 12,000 feet." sqref="M9:N9">
      <formula1>-500</formula1>
      <formula2>12000</formula2>
    </dataValidation>
    <dataValidation type="decimal" operator="greaterThan" allowBlank="1" showInputMessage="1" showErrorMessage="1" errorTitle="RANGE LIMITS!" error="Range must be greater than 0." sqref="I6">
      <formula1>0</formula1>
    </dataValidation>
    <dataValidation type="decimal" operator="lessThanOrEqual" allowBlank="1" showInputMessage="1" showErrorMessage="1" errorTitle="Altitude Warning" error="NASA defines someone as an astronaut if they fly over80,463 m.  Do you really think you can get your explosives to detonate in space? Try a smaller number." sqref="K11:L11">
      <formula1>80463</formula1>
    </dataValidation>
    <dataValidation type="decimal" operator="greaterThan" allowBlank="1" showErrorMessage="1" errorTitle="Pressure Warning" error="The entered pressure must be greater than 0 kPa." promptTitle="Pressure Warning" prompt="The entered pressure must be greater than 0 psi." sqref="K9:L9">
      <formula1>0</formula1>
    </dataValidation>
  </dataValidations>
  <printOptions horizontalCentered="1"/>
  <pageMargins left="0.75" right="0.75" top="1" bottom="1" header="0.5" footer="0.5"/>
  <pageSetup scale="54" pageOrder="overThenDown" orientation="portrait" r:id="rId1"/>
  <headerFooter alignWithMargins="0">
    <oddHeader xml:space="preserve">&amp;C&amp;"Times New Roman,Bold"&amp;24BLAST EFFECTS COMPUTER - OPEN&amp;14
&amp;"Times New Roman,Italic"&amp;18(Version 1.0)&amp;"Times New Roman,Bold"&amp;14
</oddHeader>
    <oddFooter>&amp;C&amp;"Charcoal,Bold"&amp;10&amp;D 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9" r:id="rId4" name="Drop Down 17">
              <controlPr defaultSize="0" autoFill="0" autoLine="0" autoPict="0">
                <anchor moveWithCells="1">
                  <from>
                    <xdr:col>2</xdr:col>
                    <xdr:colOff>68580</xdr:colOff>
                    <xdr:row>5</xdr:row>
                    <xdr:rowOff>0</xdr:rowOff>
                  </from>
                  <to>
                    <xdr:col>3</xdr:col>
                    <xdr:colOff>502920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5" name="Drop Down 18">
              <controlPr defaultSize="0" autoFill="0" autoLine="0" autoPict="0">
                <anchor moveWithCells="1">
                  <from>
                    <xdr:col>4</xdr:col>
                    <xdr:colOff>7620</xdr:colOff>
                    <xdr:row>5</xdr:row>
                    <xdr:rowOff>0</xdr:rowOff>
                  </from>
                  <to>
                    <xdr:col>5</xdr:col>
                    <xdr:colOff>998220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6" name="Drop Down 19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7620</xdr:rowOff>
                  </from>
                  <to>
                    <xdr:col>3</xdr:col>
                    <xdr:colOff>502920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7" name="Drop Down 20">
              <controlPr defaultSize="0" autoFill="0" autoLine="0" autoPict="0" macro="[0]!SelectTypeofWeapon">
                <anchor moveWithCells="1">
                  <from>
                    <xdr:col>2</xdr:col>
                    <xdr:colOff>38100</xdr:colOff>
                    <xdr:row>8</xdr:row>
                    <xdr:rowOff>7620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8" name="Drop Down 22">
              <controlPr defaultSize="0" autoFill="0" autoLine="0" autoPict="0">
                <anchor moveWithCells="1">
                  <from>
                    <xdr:col>2</xdr:col>
                    <xdr:colOff>68580</xdr:colOff>
                    <xdr:row>5</xdr:row>
                    <xdr:rowOff>0</xdr:rowOff>
                  </from>
                  <to>
                    <xdr:col>3</xdr:col>
                    <xdr:colOff>502920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9" name="Drop Down 23">
              <controlPr defaultSize="0" autoFill="0" autoLine="0" autoPict="0">
                <anchor moveWithCells="1">
                  <from>
                    <xdr:col>4</xdr:col>
                    <xdr:colOff>7620</xdr:colOff>
                    <xdr:row>5</xdr:row>
                    <xdr:rowOff>0</xdr:rowOff>
                  </from>
                  <to>
                    <xdr:col>5</xdr:col>
                    <xdr:colOff>998220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0" name="Drop Down 24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7620</xdr:rowOff>
                  </from>
                  <to>
                    <xdr:col>3</xdr:col>
                    <xdr:colOff>502920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1" name="Drop Down 25">
              <controlPr defaultSize="0" autoFill="0" autoLine="0" autoPict="0" macro="[0]!SelectDefaultExplosiveType">
                <anchor moveWithCells="1">
                  <from>
                    <xdr:col>2</xdr:col>
                    <xdr:colOff>38100</xdr:colOff>
                    <xdr:row>8</xdr:row>
                    <xdr:rowOff>0</xdr:rowOff>
                  </from>
                  <to>
                    <xdr:col>3</xdr:col>
                    <xdr:colOff>495300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2" name="Drop Down 26">
              <controlPr defaultSize="0" autoFill="0" autoLine="0" autoPict="0">
                <anchor moveWithCells="1">
                  <from>
                    <xdr:col>9</xdr:col>
                    <xdr:colOff>601980</xdr:colOff>
                    <xdr:row>5</xdr:row>
                    <xdr:rowOff>0</xdr:rowOff>
                  </from>
                  <to>
                    <xdr:col>11</xdr:col>
                    <xdr:colOff>1264920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L266"/>
  <sheetViews>
    <sheetView zoomScaleNormal="100" zoomScaleSheetLayoutView="85" workbookViewId="0">
      <selection activeCell="AS5" sqref="AS5"/>
    </sheetView>
  </sheetViews>
  <sheetFormatPr defaultColWidth="10.88671875" defaultRowHeight="15.6" x14ac:dyDescent="0.3"/>
  <cols>
    <col min="1" max="2" width="1.77734375" style="53" customWidth="1"/>
    <col min="3" max="3" width="22.109375" style="53" customWidth="1"/>
    <col min="4" max="4" width="14.44140625" style="53" customWidth="1"/>
    <col min="5" max="6" width="13.109375" style="53" customWidth="1"/>
    <col min="7" max="7" width="6.88671875" style="53" customWidth="1"/>
    <col min="8" max="8" width="2.21875" style="53" customWidth="1"/>
    <col min="9" max="9" width="22.6640625" style="53" customWidth="1"/>
    <col min="10" max="11" width="9.109375" style="53" customWidth="1"/>
    <col min="12" max="12" width="17.33203125" style="53" customWidth="1"/>
    <col min="13" max="14" width="1.77734375" style="53" customWidth="1"/>
    <col min="15" max="15" width="13.6640625" style="56" customWidth="1"/>
    <col min="16" max="16" width="15.88671875" style="53" customWidth="1"/>
    <col min="17" max="17" width="13.6640625" style="53" hidden="1" customWidth="1"/>
    <col min="18" max="18" width="10.88671875" style="53" customWidth="1"/>
    <col min="19" max="19" width="12.88671875" style="53" customWidth="1"/>
    <col min="20" max="20" width="12.109375" style="53" customWidth="1"/>
    <col min="21" max="21" width="14.44140625" style="53" customWidth="1"/>
    <col min="22" max="22" width="13.109375" style="53" customWidth="1"/>
    <col min="23" max="26" width="14.44140625" style="53" customWidth="1"/>
    <col min="27" max="27" width="13.109375" style="53" customWidth="1"/>
    <col min="28" max="37" width="13.6640625" style="53" customWidth="1"/>
    <col min="38" max="38" width="13.6640625" style="55" customWidth="1"/>
    <col min="39" max="16384" width="10.88671875" style="53"/>
  </cols>
  <sheetData>
    <row r="1" spans="2:38" ht="15" customHeight="1" thickBot="1" x14ac:dyDescent="0.35">
      <c r="C1" s="472" t="s">
        <v>622</v>
      </c>
    </row>
    <row r="2" spans="2:38" ht="31.2" thickTop="1" thickBot="1" x14ac:dyDescent="0.55000000000000004">
      <c r="B2" s="58"/>
      <c r="C2" s="605" t="s">
        <v>49</v>
      </c>
      <c r="D2" s="605"/>
      <c r="E2" s="643"/>
      <c r="F2" s="643"/>
      <c r="G2" s="643"/>
      <c r="H2" s="643"/>
      <c r="I2" s="643"/>
      <c r="J2" s="643"/>
      <c r="K2" s="643"/>
      <c r="L2" s="643"/>
      <c r="M2" s="59"/>
      <c r="N2" s="60"/>
      <c r="P2" s="523" t="s">
        <v>81</v>
      </c>
      <c r="Q2" s="523"/>
      <c r="R2" s="523"/>
      <c r="S2" s="523"/>
      <c r="T2" s="523"/>
      <c r="U2" s="523"/>
      <c r="V2" s="523"/>
      <c r="W2" s="523"/>
      <c r="X2" s="523"/>
      <c r="Y2" s="523"/>
      <c r="Z2" s="523"/>
      <c r="AC2" s="523" t="s">
        <v>84</v>
      </c>
      <c r="AD2" s="523"/>
      <c r="AE2" s="523"/>
      <c r="AF2" s="523"/>
      <c r="AG2" s="523"/>
      <c r="AH2" s="523"/>
      <c r="AI2" s="523"/>
      <c r="AJ2" s="523"/>
      <c r="AK2" s="523"/>
      <c r="AL2" s="53"/>
    </row>
    <row r="3" spans="2:38" ht="19.5" customHeight="1" thickBot="1" x14ac:dyDescent="0.4">
      <c r="B3" s="62"/>
      <c r="C3" s="611" t="s">
        <v>545</v>
      </c>
      <c r="D3" s="611"/>
      <c r="E3" s="611"/>
      <c r="F3" s="611"/>
      <c r="G3" s="611"/>
      <c r="H3" s="611"/>
      <c r="I3" s="611"/>
      <c r="J3" s="611"/>
      <c r="K3" s="611"/>
      <c r="L3" s="611"/>
      <c r="M3" s="63"/>
      <c r="N3" s="64"/>
      <c r="S3" s="538" t="s">
        <v>80</v>
      </c>
      <c r="T3" s="539"/>
      <c r="U3" s="535" t="str">
        <f>'METRIC UNITS'!AY5</f>
        <v>Open Storage/STANDARD</v>
      </c>
      <c r="V3" s="536"/>
      <c r="W3" s="537"/>
      <c r="AA3" s="106"/>
      <c r="AE3" s="538" t="s">
        <v>80</v>
      </c>
      <c r="AF3" s="539"/>
      <c r="AG3" s="535" t="str">
        <f>U3</f>
        <v>Open Storage/STANDARD</v>
      </c>
      <c r="AH3" s="536"/>
      <c r="AI3" s="537"/>
      <c r="AL3" s="53"/>
    </row>
    <row r="4" spans="2:38" ht="23.4" thickBot="1" x14ac:dyDescent="0.45">
      <c r="B4" s="62"/>
      <c r="C4" s="68"/>
      <c r="D4" s="68"/>
      <c r="E4" s="600"/>
      <c r="F4" s="600"/>
      <c r="G4" s="69"/>
      <c r="H4" s="69"/>
      <c r="I4" s="70"/>
      <c r="J4" s="69"/>
      <c r="K4" s="69"/>
      <c r="L4" s="70"/>
      <c r="M4" s="71"/>
      <c r="N4" s="72"/>
      <c r="P4" s="107"/>
      <c r="Q4" s="108"/>
      <c r="R4" s="109"/>
      <c r="S4" s="530" t="s">
        <v>226</v>
      </c>
      <c r="T4" s="663"/>
      <c r="U4" s="535" t="str">
        <f>'METRIC UNITS'!AY6</f>
        <v>Bulk/Light Cased:  STANDARD</v>
      </c>
      <c r="V4" s="664"/>
      <c r="W4" s="665"/>
      <c r="X4" s="57"/>
      <c r="Y4" s="72"/>
      <c r="Z4" s="57"/>
      <c r="AC4" s="110"/>
      <c r="AD4" s="110"/>
      <c r="AE4" s="530" t="s">
        <v>226</v>
      </c>
      <c r="AF4" s="532"/>
      <c r="AG4" s="535" t="str">
        <f>U4</f>
        <v>Bulk/Light Cased:  STANDARD</v>
      </c>
      <c r="AH4" s="536"/>
      <c r="AI4" s="537"/>
      <c r="AJ4" s="110"/>
      <c r="AK4" s="110"/>
      <c r="AL4" s="53"/>
    </row>
    <row r="5" spans="2:38" ht="18.600000000000001" thickBot="1" x14ac:dyDescent="0.4">
      <c r="B5" s="62"/>
      <c r="C5" s="315" t="s">
        <v>544</v>
      </c>
      <c r="D5" s="315"/>
      <c r="F5" s="315"/>
      <c r="J5" s="315"/>
      <c r="K5" s="315"/>
      <c r="L5" s="72"/>
      <c r="M5" s="71"/>
      <c r="N5" s="72"/>
      <c r="P5" s="106"/>
      <c r="Q5" s="112"/>
      <c r="R5" s="56"/>
      <c r="S5" s="530" t="str">
        <f>'METRIC UNITS'!AW7</f>
        <v/>
      </c>
      <c r="T5" s="663"/>
      <c r="U5" s="524" t="str">
        <f>'METRIC UNITS'!AY7</f>
        <v/>
      </c>
      <c r="V5" s="525"/>
      <c r="W5" s="526"/>
      <c r="X5" s="57"/>
      <c r="Z5" s="316"/>
      <c r="AA5" s="106"/>
      <c r="AD5" s="109"/>
      <c r="AE5" s="530" t="str">
        <f>'METRIC UNITS'!BH7</f>
        <v/>
      </c>
      <c r="AF5" s="532"/>
      <c r="AG5" s="692" t="str">
        <f>'METRIC UNITS'!BJ7</f>
        <v/>
      </c>
      <c r="AH5" s="693"/>
      <c r="AI5" s="694"/>
      <c r="AJ5" s="57"/>
      <c r="AL5" s="53"/>
    </row>
    <row r="6" spans="2:38" s="90" customFormat="1" ht="18.600000000000001" thickBot="1" x14ac:dyDescent="0.4">
      <c r="B6" s="87"/>
      <c r="C6" s="651" t="str">
        <f>'METRIC UNITS'!T23</f>
        <v>Open Storage/STANDARD</v>
      </c>
      <c r="D6" s="651"/>
      <c r="E6" s="651"/>
      <c r="F6" s="88"/>
      <c r="I6" s="423" t="s">
        <v>612</v>
      </c>
      <c r="J6" s="317">
        <f>'METRIC UNITS'!I6*3.28084</f>
        <v>328.084</v>
      </c>
      <c r="K6" s="317"/>
      <c r="L6" s="88"/>
      <c r="M6" s="89"/>
      <c r="N6" s="88"/>
      <c r="O6" s="100"/>
      <c r="P6" s="106"/>
      <c r="Q6" s="112"/>
      <c r="R6" s="56"/>
      <c r="S6" s="533" t="s">
        <v>48</v>
      </c>
      <c r="T6" s="534"/>
      <c r="U6" s="524">
        <f>E17</f>
        <v>22046.199999999997</v>
      </c>
      <c r="V6" s="525"/>
      <c r="W6" s="526"/>
      <c r="X6" s="57"/>
      <c r="Z6" s="302"/>
      <c r="AA6" s="106"/>
      <c r="AB6" s="53"/>
      <c r="AC6" s="53"/>
      <c r="AD6" s="56"/>
      <c r="AE6" s="533" t="s">
        <v>48</v>
      </c>
      <c r="AF6" s="534"/>
      <c r="AG6" s="524">
        <f>$E$17</f>
        <v>22046.199999999997</v>
      </c>
      <c r="AH6" s="525"/>
      <c r="AI6" s="526"/>
      <c r="AJ6" s="57"/>
      <c r="AK6" s="53"/>
      <c r="AL6" s="53"/>
    </row>
    <row r="7" spans="2:38" ht="16.5" customHeight="1" thickBot="1" x14ac:dyDescent="0.4">
      <c r="B7" s="62"/>
      <c r="F7" s="315"/>
      <c r="G7" s="315"/>
      <c r="H7" s="315"/>
      <c r="J7" s="88"/>
      <c r="K7" s="88"/>
      <c r="L7" s="72"/>
      <c r="M7" s="71"/>
      <c r="N7" s="72"/>
      <c r="P7" s="106"/>
      <c r="Q7" s="55"/>
      <c r="R7" s="56"/>
      <c r="S7" s="533" t="s">
        <v>590</v>
      </c>
      <c r="T7" s="534"/>
      <c r="U7" s="524" t="str">
        <f>C12</f>
        <v>TNT</v>
      </c>
      <c r="V7" s="525"/>
      <c r="W7" s="526"/>
      <c r="X7" s="114"/>
      <c r="Y7" s="114"/>
      <c r="Z7" s="114"/>
      <c r="AA7" s="106"/>
      <c r="AD7" s="56"/>
      <c r="AE7" s="533" t="s">
        <v>590</v>
      </c>
      <c r="AF7" s="534"/>
      <c r="AG7" s="524" t="str">
        <f>C12</f>
        <v>TNT</v>
      </c>
      <c r="AH7" s="525"/>
      <c r="AI7" s="526"/>
      <c r="AJ7" s="57"/>
      <c r="AL7" s="53"/>
    </row>
    <row r="8" spans="2:38" ht="17.399999999999999" thickTop="1" thickBot="1" x14ac:dyDescent="0.4">
      <c r="B8" s="62"/>
      <c r="C8" s="315" t="s">
        <v>224</v>
      </c>
      <c r="D8" s="315"/>
      <c r="E8" s="495"/>
      <c r="F8" s="495"/>
      <c r="G8" s="654" t="s">
        <v>59</v>
      </c>
      <c r="H8" s="655"/>
      <c r="I8" s="655"/>
      <c r="J8" s="655"/>
      <c r="K8" s="655"/>
      <c r="L8" s="656"/>
      <c r="M8" s="71"/>
      <c r="N8" s="72"/>
      <c r="P8" s="106"/>
      <c r="Q8" s="55"/>
      <c r="R8" s="56"/>
      <c r="S8" s="527" t="s">
        <v>82</v>
      </c>
      <c r="T8" s="528"/>
      <c r="U8" s="528"/>
      <c r="V8" s="529"/>
      <c r="W8" s="118">
        <f>E19</f>
        <v>1</v>
      </c>
      <c r="X8" s="114"/>
      <c r="Y8" s="114"/>
      <c r="Z8" s="114"/>
      <c r="AA8" s="106"/>
      <c r="AD8" s="56"/>
      <c r="AE8" s="527" t="s">
        <v>82</v>
      </c>
      <c r="AF8" s="528"/>
      <c r="AG8" s="528"/>
      <c r="AH8" s="529"/>
      <c r="AI8" s="118">
        <f>E19</f>
        <v>1</v>
      </c>
      <c r="AJ8" s="114"/>
      <c r="AL8" s="53"/>
    </row>
    <row r="9" spans="2:38" ht="18.600000000000001" thickBot="1" x14ac:dyDescent="0.4">
      <c r="B9" s="62"/>
      <c r="C9" s="651" t="str">
        <f>'METRIC UNITS'!T24</f>
        <v>Bulk/Light Cased:  STANDARD</v>
      </c>
      <c r="D9" s="651"/>
      <c r="E9" s="651"/>
      <c r="G9" s="644" t="str">
        <f>'METRIC UNITS'!F14</f>
        <v/>
      </c>
      <c r="H9" s="645"/>
      <c r="I9" s="645"/>
      <c r="J9" s="645"/>
      <c r="K9" s="645"/>
      <c r="L9" s="646"/>
      <c r="M9" s="71"/>
      <c r="N9" s="72"/>
      <c r="P9" s="106"/>
      <c r="Q9" s="55"/>
      <c r="R9" s="56"/>
      <c r="S9" s="530" t="s">
        <v>83</v>
      </c>
      <c r="T9" s="531"/>
      <c r="U9" s="531"/>
      <c r="V9" s="532"/>
      <c r="W9" s="118">
        <f>E20</f>
        <v>1</v>
      </c>
      <c r="X9" s="114"/>
      <c r="Y9" s="114"/>
      <c r="Z9" s="114"/>
      <c r="AA9" s="106"/>
      <c r="AD9" s="56"/>
      <c r="AE9" s="530" t="s">
        <v>83</v>
      </c>
      <c r="AF9" s="531"/>
      <c r="AG9" s="531"/>
      <c r="AH9" s="532"/>
      <c r="AI9" s="118">
        <f>E20</f>
        <v>1</v>
      </c>
      <c r="AJ9" s="114"/>
      <c r="AL9" s="53"/>
    </row>
    <row r="10" spans="2:38" ht="16.8" thickBot="1" x14ac:dyDescent="0.4">
      <c r="B10" s="62"/>
      <c r="C10" s="111"/>
      <c r="D10" s="111"/>
      <c r="E10" s="72"/>
      <c r="F10" s="72"/>
      <c r="G10" s="647" t="str">
        <f>'METRIC UNITS'!F15</f>
        <v/>
      </c>
      <c r="H10" s="648"/>
      <c r="I10" s="648"/>
      <c r="J10" s="648"/>
      <c r="K10" s="648"/>
      <c r="L10" s="649"/>
      <c r="M10" s="71"/>
      <c r="N10" s="72"/>
      <c r="P10" s="106"/>
      <c r="Q10" s="55"/>
      <c r="R10" s="56"/>
      <c r="S10" s="301"/>
      <c r="T10" s="301"/>
      <c r="U10" s="301"/>
      <c r="V10" s="301"/>
      <c r="W10" s="300"/>
      <c r="X10" s="114"/>
      <c r="Y10" s="114"/>
      <c r="Z10" s="114"/>
      <c r="AA10" s="106"/>
      <c r="AD10" s="56"/>
      <c r="AE10" s="130" t="s">
        <v>85</v>
      </c>
      <c r="AF10" s="375">
        <f>F28</f>
        <v>0</v>
      </c>
      <c r="AG10" s="527" t="s">
        <v>35</v>
      </c>
      <c r="AH10" s="529"/>
      <c r="AI10" s="376">
        <f>J17</f>
        <v>14.695985635426428</v>
      </c>
      <c r="AJ10" s="114"/>
      <c r="AL10" s="53"/>
    </row>
    <row r="11" spans="2:38" ht="18.600000000000001" thickBot="1" x14ac:dyDescent="0.4">
      <c r="B11" s="62"/>
      <c r="C11" s="315" t="s">
        <v>542</v>
      </c>
      <c r="D11" s="315"/>
      <c r="G11" s="657" t="str">
        <f>'METRIC UNITS'!F16</f>
        <v/>
      </c>
      <c r="H11" s="658"/>
      <c r="I11" s="658"/>
      <c r="J11" s="658"/>
      <c r="K11" s="658"/>
      <c r="L11" s="659"/>
      <c r="M11" s="71"/>
      <c r="N11" s="72"/>
      <c r="P11" s="106"/>
      <c r="Q11" s="55"/>
      <c r="R11" s="56"/>
      <c r="S11" s="629" t="s">
        <v>606</v>
      </c>
      <c r="T11" s="629"/>
      <c r="U11" s="629"/>
      <c r="V11" s="515"/>
      <c r="W11" s="318">
        <f>'METRIC UNITS'!BA16*3.28084</f>
        <v>164.042</v>
      </c>
      <c r="X11" s="114"/>
      <c r="Y11" s="114"/>
      <c r="Z11" s="114"/>
      <c r="AA11" s="106"/>
      <c r="AE11" s="56"/>
      <c r="AF11" s="640" t="s">
        <v>76</v>
      </c>
      <c r="AG11" s="641"/>
      <c r="AH11" s="118">
        <f>J18</f>
        <v>59</v>
      </c>
      <c r="AI11" s="134"/>
      <c r="AJ11" s="72"/>
      <c r="AK11" s="72"/>
      <c r="AL11" s="311"/>
    </row>
    <row r="12" spans="2:38" ht="18.75" customHeight="1" thickBot="1" x14ac:dyDescent="0.4">
      <c r="B12" s="62"/>
      <c r="C12" s="653" t="str">
        <f>'METRIC UNITS'!D23</f>
        <v>TNT</v>
      </c>
      <c r="D12" s="653"/>
      <c r="E12" s="653"/>
      <c r="F12" s="319"/>
      <c r="G12" s="660">
        <f>'METRIC UNITS'!F17</f>
        <v>0</v>
      </c>
      <c r="H12" s="661"/>
      <c r="I12" s="661"/>
      <c r="J12" s="661"/>
      <c r="K12" s="661"/>
      <c r="L12" s="662"/>
      <c r="M12" s="71"/>
      <c r="N12" s="72"/>
      <c r="Q12" s="55"/>
      <c r="R12" s="56"/>
      <c r="S12" s="56"/>
      <c r="T12" s="56"/>
      <c r="U12" s="56"/>
      <c r="V12" s="56"/>
      <c r="W12" s="56"/>
      <c r="X12" s="57"/>
      <c r="Y12" s="57"/>
      <c r="Z12" s="57"/>
      <c r="AB12" s="55"/>
      <c r="AC12" s="56"/>
      <c r="AD12" s="56"/>
      <c r="AE12" s="56"/>
      <c r="AF12" s="652"/>
      <c r="AG12" s="652"/>
      <c r="AH12" s="320"/>
      <c r="AI12" s="57"/>
      <c r="AJ12" s="57"/>
      <c r="AK12" s="57"/>
      <c r="AL12" s="53"/>
    </row>
    <row r="13" spans="2:38" ht="16.8" thickTop="1" thickBot="1" x14ac:dyDescent="0.35">
      <c r="B13" s="62"/>
      <c r="J13" s="135"/>
      <c r="K13" s="135"/>
      <c r="L13" s="121"/>
      <c r="M13" s="120"/>
      <c r="P13" s="138" t="s">
        <v>4</v>
      </c>
      <c r="Q13" s="139" t="s">
        <v>4</v>
      </c>
      <c r="R13" s="138" t="s">
        <v>78</v>
      </c>
      <c r="S13" s="140" t="s">
        <v>8</v>
      </c>
      <c r="T13" s="140" t="s">
        <v>11</v>
      </c>
      <c r="U13" s="140" t="s">
        <v>11</v>
      </c>
      <c r="V13" s="140" t="s">
        <v>14</v>
      </c>
      <c r="W13" s="140" t="s">
        <v>16</v>
      </c>
      <c r="X13" s="140" t="s">
        <v>16</v>
      </c>
      <c r="Y13" s="140" t="s">
        <v>17</v>
      </c>
      <c r="Z13" s="140" t="s">
        <v>17</v>
      </c>
      <c r="AB13" s="138" t="s">
        <v>4</v>
      </c>
      <c r="AC13" s="138" t="s">
        <v>78</v>
      </c>
      <c r="AD13" s="138" t="s">
        <v>4</v>
      </c>
      <c r="AE13" s="140" t="s">
        <v>8</v>
      </c>
      <c r="AF13" s="140" t="s">
        <v>11</v>
      </c>
      <c r="AG13" s="140" t="s">
        <v>11</v>
      </c>
      <c r="AH13" s="140" t="s">
        <v>14</v>
      </c>
      <c r="AI13" s="140" t="s">
        <v>16</v>
      </c>
      <c r="AJ13" s="140" t="s">
        <v>16</v>
      </c>
      <c r="AK13" s="140" t="s">
        <v>17</v>
      </c>
      <c r="AL13" s="140" t="s">
        <v>17</v>
      </c>
    </row>
    <row r="14" spans="2:38" ht="30.6" thickTop="1" x14ac:dyDescent="0.5">
      <c r="B14" s="136"/>
      <c r="C14" s="607" t="s">
        <v>3</v>
      </c>
      <c r="D14" s="607"/>
      <c r="E14" s="608"/>
      <c r="F14" s="608"/>
      <c r="G14" s="608"/>
      <c r="H14" s="608"/>
      <c r="I14" s="608"/>
      <c r="J14" s="608"/>
      <c r="K14" s="608"/>
      <c r="L14" s="608"/>
      <c r="M14" s="137"/>
      <c r="N14" s="60"/>
      <c r="P14" s="142"/>
      <c r="Q14" s="143"/>
      <c r="R14" s="142" t="s">
        <v>79</v>
      </c>
      <c r="S14" s="144" t="s">
        <v>9</v>
      </c>
      <c r="T14" s="144" t="s">
        <v>5</v>
      </c>
      <c r="U14" s="144" t="s">
        <v>6</v>
      </c>
      <c r="V14" s="144" t="s">
        <v>15</v>
      </c>
      <c r="W14" s="144" t="s">
        <v>5</v>
      </c>
      <c r="X14" s="144" t="s">
        <v>6</v>
      </c>
      <c r="Y14" s="144" t="s">
        <v>5</v>
      </c>
      <c r="Z14" s="144" t="s">
        <v>6</v>
      </c>
      <c r="AB14" s="145" t="s">
        <v>86</v>
      </c>
      <c r="AC14" s="142" t="s">
        <v>79</v>
      </c>
      <c r="AD14" s="146" t="s">
        <v>103</v>
      </c>
      <c r="AE14" s="144" t="s">
        <v>9</v>
      </c>
      <c r="AF14" s="144" t="s">
        <v>5</v>
      </c>
      <c r="AG14" s="144" t="s">
        <v>6</v>
      </c>
      <c r="AH14" s="144" t="s">
        <v>15</v>
      </c>
      <c r="AI14" s="144" t="s">
        <v>5</v>
      </c>
      <c r="AJ14" s="144" t="s">
        <v>6</v>
      </c>
      <c r="AK14" s="144" t="s">
        <v>5</v>
      </c>
      <c r="AL14" s="144" t="s">
        <v>6</v>
      </c>
    </row>
    <row r="15" spans="2:38" ht="18.600000000000001" thickBot="1" x14ac:dyDescent="0.35">
      <c r="B15" s="62"/>
      <c r="C15" s="54"/>
      <c r="D15" s="54"/>
      <c r="L15" s="54"/>
      <c r="M15" s="141"/>
      <c r="N15" s="54"/>
      <c r="P15" s="142" t="s">
        <v>608</v>
      </c>
      <c r="Q15" s="143" t="s">
        <v>7</v>
      </c>
      <c r="R15" s="142" t="s">
        <v>102</v>
      </c>
      <c r="S15" s="144" t="s">
        <v>10</v>
      </c>
      <c r="T15" s="144" t="s">
        <v>12</v>
      </c>
      <c r="U15" s="144" t="s">
        <v>13</v>
      </c>
      <c r="V15" s="144" t="s">
        <v>10</v>
      </c>
      <c r="W15" s="144" t="s">
        <v>12</v>
      </c>
      <c r="X15" s="144" t="s">
        <v>13</v>
      </c>
      <c r="Y15" s="144" t="s">
        <v>12</v>
      </c>
      <c r="Z15" s="144" t="s">
        <v>13</v>
      </c>
      <c r="AB15" s="142" t="s">
        <v>608</v>
      </c>
      <c r="AC15" s="142" t="s">
        <v>102</v>
      </c>
      <c r="AD15" s="142" t="s">
        <v>608</v>
      </c>
      <c r="AE15" s="144" t="s">
        <v>10</v>
      </c>
      <c r="AF15" s="144" t="s">
        <v>12</v>
      </c>
      <c r="AG15" s="144" t="s">
        <v>13</v>
      </c>
      <c r="AH15" s="144" t="s">
        <v>10</v>
      </c>
      <c r="AI15" s="144" t="s">
        <v>12</v>
      </c>
      <c r="AJ15" s="144" t="s">
        <v>13</v>
      </c>
      <c r="AK15" s="144" t="s">
        <v>12</v>
      </c>
      <c r="AL15" s="144" t="s">
        <v>13</v>
      </c>
    </row>
    <row r="16" spans="2:38" ht="18" thickBot="1" x14ac:dyDescent="0.35">
      <c r="B16" s="62"/>
      <c r="C16" s="609" t="s">
        <v>41</v>
      </c>
      <c r="D16" s="609"/>
      <c r="E16" s="609"/>
      <c r="F16" s="147"/>
      <c r="G16" s="148"/>
      <c r="H16" s="148"/>
      <c r="I16" s="610" t="s">
        <v>19</v>
      </c>
      <c r="J16" s="610"/>
      <c r="K16" s="610"/>
      <c r="L16" s="610"/>
      <c r="M16" s="149"/>
      <c r="N16" s="150"/>
      <c r="P16" s="338">
        <f>'METRIC UNITS'!AS21*3.28084</f>
        <v>328.084</v>
      </c>
      <c r="Q16" s="338">
        <v>49.993719061202256</v>
      </c>
      <c r="R16" s="339">
        <f>'METRIC UNITS'!AU21*2.5208</f>
        <v>11.70051713177109</v>
      </c>
      <c r="S16" s="340">
        <f>IF('METRIC UNITS'!AV21="out of range","out of range",'METRIC UNITS'!AV21)</f>
        <v>158.02100971019939</v>
      </c>
      <c r="T16" s="340">
        <f>IF('METRIC UNITS'!AW21="out of range","out of range",'METRIC UNITS'!AW21/6.89474)</f>
        <v>7.152055241713116</v>
      </c>
      <c r="U16" s="340">
        <f>IF('METRIC UNITS'!AX21="out of range","out of range",'METRIC UNITS'!AX21/6.89474)</f>
        <v>198.21858825663531</v>
      </c>
      <c r="V16" s="340">
        <f>IF('METRIC UNITS'!AY21="out of range","out of range",'METRIC UNITS'!AY21)</f>
        <v>79.188624587534818</v>
      </c>
      <c r="W16" s="340">
        <f>IF('METRIC UNITS'!AZ21="out of range","out of range",'METRIC UNITS'!AZ21/6.89474)</f>
        <v>17.061565023954998</v>
      </c>
      <c r="X16" s="340">
        <f>IF('METRIC UNITS'!BA21="out of range","out of range",'METRIC UNITS'!BA21/6.89474)</f>
        <v>426.32315700944901</v>
      </c>
      <c r="Y16" s="340">
        <f>IF('METRIC UNITS'!BB21="out of range","out of range",'METRIC UNITS'!BB21/6.89474)</f>
        <v>1.2162616356202898</v>
      </c>
      <c r="Z16" s="340">
        <f>IF('METRIC UNITS'!BC21="out of range","out of range",'METRIC UNITS'!BC21/6.89474)</f>
        <v>23.479159540653267</v>
      </c>
      <c r="AB16" s="338">
        <f>'METRIC UNITS'!BE21*3.28084</f>
        <v>328.084</v>
      </c>
      <c r="AC16" s="339">
        <f>'METRIC UNITS'!BF21*2.5208</f>
        <v>11.70051713177109</v>
      </c>
      <c r="AD16" s="338">
        <f>'METRIC UNITS'!BG21*3.28084</f>
        <v>328.084</v>
      </c>
      <c r="AE16" s="340">
        <f>IF('METRIC UNITS'!BH21="out of range","out of range",'METRIC UNITS'!BH21)</f>
        <v>158.02100971019939</v>
      </c>
      <c r="AF16" s="340">
        <f>IF('METRIC UNITS'!BI21="out of range","out of range",'METRIC UNITS'!BI21/6.89474)</f>
        <v>7.152055241713116</v>
      </c>
      <c r="AG16" s="340">
        <f>IF('METRIC UNITS'!BJ21="out of range","out of range",'METRIC UNITS'!BJ21/6.89474)</f>
        <v>198.21858825663531</v>
      </c>
      <c r="AH16" s="340">
        <f>IF('METRIC UNITS'!BK21="out of range","out of range",'METRIC UNITS'!BK21)</f>
        <v>79.188624587534818</v>
      </c>
      <c r="AI16" s="340">
        <f>IF('METRIC UNITS'!BL21="out of range","out of range",'METRIC UNITS'!BL21/6.89474)</f>
        <v>17.061565023954998</v>
      </c>
      <c r="AJ16" s="340">
        <f>IF('METRIC UNITS'!BM21="out of range","out of range",'METRIC UNITS'!BM21/6.89474)</f>
        <v>426.32315700944901</v>
      </c>
      <c r="AK16" s="340">
        <f>IF('METRIC UNITS'!BN21="out of range","out of range",'METRIC UNITS'!BN21/6.89474)</f>
        <v>1.2162616356202898</v>
      </c>
      <c r="AL16" s="340">
        <f>IF('METRIC UNITS'!BO21="out of range","out of range",'METRIC UNITS'!BO21/6.89474)</f>
        <v>23.479159540653267</v>
      </c>
    </row>
    <row r="17" spans="1:38" x14ac:dyDescent="0.3">
      <c r="B17" s="62"/>
      <c r="C17" s="54" t="s">
        <v>44</v>
      </c>
      <c r="D17" s="54"/>
      <c r="E17" s="266">
        <f>'METRIC UNITS'!E21*2.20462</f>
        <v>22046.199999999997</v>
      </c>
      <c r="F17" s="152"/>
      <c r="G17" s="153"/>
      <c r="H17" s="153"/>
      <c r="I17" s="54" t="s">
        <v>35</v>
      </c>
      <c r="J17" s="109">
        <f>'METRIC UNITS'!J21/6.89474</f>
        <v>14.695985635426428</v>
      </c>
      <c r="K17" s="109"/>
      <c r="L17" s="54"/>
      <c r="M17" s="141"/>
      <c r="N17" s="54"/>
      <c r="P17" s="159">
        <f>'METRIC UNITS'!AS22*3.28084</f>
        <v>82.021000000000001</v>
      </c>
      <c r="Q17" s="160">
        <v>49.993719061202256</v>
      </c>
      <c r="R17" s="161">
        <f>'METRIC UNITS'!AU22*2.5208</f>
        <v>2.9251292829427724</v>
      </c>
      <c r="S17" s="162">
        <f>IF('METRIC UNITS'!AV22="out of range","out of range",'METRIC UNITS'!AV22)</f>
        <v>13.201257271707076</v>
      </c>
      <c r="T17" s="162">
        <f>IF('METRIC UNITS'!AW22="out of range","out of range",'METRIC UNITS'!AW22/6.89474)</f>
        <v>142.54663241400013</v>
      </c>
      <c r="U17" s="162">
        <f>IF('METRIC UNITS'!AX22="out of range","out of range",'METRIC UNITS'!AX22/6.89474)</f>
        <v>685.8965454516931</v>
      </c>
      <c r="V17" s="162">
        <f>IF('METRIC UNITS'!AY22="out of range","out of range",'METRIC UNITS'!AY22)</f>
        <v>46.184756915720811</v>
      </c>
      <c r="W17" s="162">
        <f>IF('METRIC UNITS'!AZ22="out of range","out of range",'METRIC UNITS'!AZ22/6.89474)</f>
        <v>781.11510913071754</v>
      </c>
      <c r="X17" s="162">
        <f>IF('METRIC UNITS'!BA22="out of range","out of range",'METRIC UNITS'!BA22/6.89474)</f>
        <v>2267.8869608439627</v>
      </c>
      <c r="Y17" s="162">
        <f>IF('METRIC UNITS'!BB22="out of range","out of range",'METRIC UNITS'!BB22/6.89474)</f>
        <v>204.95876382792665</v>
      </c>
      <c r="Z17" s="162">
        <f>IF('METRIC UNITS'!BC22="out of range","out of range",'METRIC UNITS'!BC22/6.89474)</f>
        <v>430.84731387569713</v>
      </c>
      <c r="AB17" s="159">
        <f>'METRIC UNITS'!BE22*3.28084</f>
        <v>82.021000000000001</v>
      </c>
      <c r="AC17" s="161">
        <f>'METRIC UNITS'!BF22*2.5208</f>
        <v>2.9251292829427724</v>
      </c>
      <c r="AD17" s="159">
        <f>'METRIC UNITS'!BG22*3.28084</f>
        <v>82.021000000000001</v>
      </c>
      <c r="AE17" s="162">
        <f>IF('METRIC UNITS'!BH22="out of range","out of range",'METRIC UNITS'!BH22)</f>
        <v>13.201257271707076</v>
      </c>
      <c r="AF17" s="162">
        <f>IF('METRIC UNITS'!BI22="out of range","out of range",'METRIC UNITS'!BI22/6.89474)</f>
        <v>142.54663241400013</v>
      </c>
      <c r="AG17" s="162">
        <f>IF('METRIC UNITS'!BJ22="out of range","out of range",'METRIC UNITS'!BJ22/6.89474)</f>
        <v>685.8965454516931</v>
      </c>
      <c r="AH17" s="162">
        <f>IF('METRIC UNITS'!BK22="out of range","out of range",'METRIC UNITS'!BK22)</f>
        <v>46.184756915720811</v>
      </c>
      <c r="AI17" s="162">
        <f>IF('METRIC UNITS'!BL22="out of range","out of range",'METRIC UNITS'!BL22/6.89474)</f>
        <v>781.11510913071754</v>
      </c>
      <c r="AJ17" s="162">
        <f>IF('METRIC UNITS'!BM22="out of range","out of range",'METRIC UNITS'!BM22/6.89474)</f>
        <v>2267.8869608439627</v>
      </c>
      <c r="AK17" s="162">
        <f>IF('METRIC UNITS'!BN22="out of range","out of range",'METRIC UNITS'!BN22/6.89474)</f>
        <v>204.95876382792665</v>
      </c>
      <c r="AL17" s="162">
        <f>IF('METRIC UNITS'!BO22="out of range","out of range",'METRIC UNITS'!BO22/6.89474)</f>
        <v>430.84731387569713</v>
      </c>
    </row>
    <row r="18" spans="1:38" x14ac:dyDescent="0.3">
      <c r="B18" s="62"/>
      <c r="C18" s="54" t="s">
        <v>225</v>
      </c>
      <c r="D18" s="54"/>
      <c r="E18" s="266">
        <f>'METRIC UNITS'!E22*2.20462</f>
        <v>0.99982766439909276</v>
      </c>
      <c r="F18" s="156"/>
      <c r="G18" s="153"/>
      <c r="H18" s="153"/>
      <c r="I18" s="54" t="s">
        <v>76</v>
      </c>
      <c r="J18" s="180">
        <f>'METRIC UNITS'!J22*1.8+32</f>
        <v>59</v>
      </c>
      <c r="K18" s="180"/>
      <c r="L18" s="54"/>
      <c r="M18" s="141"/>
      <c r="N18" s="54"/>
      <c r="P18" s="166">
        <f>'METRIC UNITS'!AS23*3.28084</f>
        <v>98.425200000000004</v>
      </c>
      <c r="Q18" s="167">
        <v>49.993719061202256</v>
      </c>
      <c r="R18" s="168">
        <f>'METRIC UNITS'!AU23*2.5208</f>
        <v>3.5101551395313266</v>
      </c>
      <c r="S18" s="169">
        <f>IF('METRIC UNITS'!AV23="out of range","out of range",'METRIC UNITS'!AV23)</f>
        <v>18.524128098903834</v>
      </c>
      <c r="T18" s="169">
        <f>IF('METRIC UNITS'!AW23="out of range","out of range",'METRIC UNITS'!AW23/6.89474)</f>
        <v>94.799318327898064</v>
      </c>
      <c r="U18" s="169">
        <f>IF('METRIC UNITS'!AX23="out of range","out of range",'METRIC UNITS'!AX23/6.89474)</f>
        <v>593.77387498230803</v>
      </c>
      <c r="V18" s="169">
        <f>IF('METRIC UNITS'!AY23="out of range","out of range",'METRIC UNITS'!AY23)</f>
        <v>47.357995681125409</v>
      </c>
      <c r="W18" s="169">
        <f>IF('METRIC UNITS'!AZ23="out of range","out of range",'METRIC UNITS'!AZ23/6.89474)</f>
        <v>459.8604295120366</v>
      </c>
      <c r="X18" s="169">
        <f>IF('METRIC UNITS'!BA23="out of range","out of range",'METRIC UNITS'!BA23/6.89474)</f>
        <v>1789.2832428300785</v>
      </c>
      <c r="Y18" s="169">
        <f>IF('METRIC UNITS'!BB23="out of range","out of range",'METRIC UNITS'!BB23/6.89474)</f>
        <v>110.44110226968805</v>
      </c>
      <c r="Z18" s="169">
        <f>IF('METRIC UNITS'!BC23="out of range","out of range",'METRIC UNITS'!BC23/6.89474)</f>
        <v>332.66796721726183</v>
      </c>
      <c r="AB18" s="166">
        <f>'METRIC UNITS'!BE23*3.28084</f>
        <v>98.425200000000004</v>
      </c>
      <c r="AC18" s="168">
        <f>'METRIC UNITS'!BF23*2.5208</f>
        <v>3.5101551395313266</v>
      </c>
      <c r="AD18" s="166">
        <f>'METRIC UNITS'!BG23*3.28084</f>
        <v>98.425200000000004</v>
      </c>
      <c r="AE18" s="169">
        <f>IF('METRIC UNITS'!BH23="out of range","out of range",'METRIC UNITS'!BH23)</f>
        <v>18.524128098903834</v>
      </c>
      <c r="AF18" s="169">
        <f>IF('METRIC UNITS'!BI23="out of range","out of range",'METRIC UNITS'!BI23/6.89474)</f>
        <v>94.799318327898064</v>
      </c>
      <c r="AG18" s="169">
        <f>IF('METRIC UNITS'!BJ23="out of range","out of range",'METRIC UNITS'!BJ23/6.89474)</f>
        <v>593.77387498230803</v>
      </c>
      <c r="AH18" s="169">
        <f>IF('METRIC UNITS'!BK23="out of range","out of range",'METRIC UNITS'!BK23)</f>
        <v>47.357995681125409</v>
      </c>
      <c r="AI18" s="169">
        <f>IF('METRIC UNITS'!BL23="out of range","out of range",'METRIC UNITS'!BL23/6.89474)</f>
        <v>459.8604295120366</v>
      </c>
      <c r="AJ18" s="169">
        <f>IF('METRIC UNITS'!BM23="out of range","out of range",'METRIC UNITS'!BM23/6.89474)</f>
        <v>1789.2832428300785</v>
      </c>
      <c r="AK18" s="169">
        <f>IF('METRIC UNITS'!BN23="out of range","out of range",'METRIC UNITS'!BN23/6.89474)</f>
        <v>110.44110226968805</v>
      </c>
      <c r="AL18" s="169">
        <f>IF('METRIC UNITS'!BO23="out of range","out of range",'METRIC UNITS'!BO23/6.89474)</f>
        <v>332.66796721726183</v>
      </c>
    </row>
    <row r="19" spans="1:38" ht="18.75" customHeight="1" x14ac:dyDescent="0.4">
      <c r="B19" s="62"/>
      <c r="C19" s="54" t="s">
        <v>74</v>
      </c>
      <c r="D19" s="54"/>
      <c r="E19" s="266">
        <f>'METRIC UNITS'!E24</f>
        <v>1</v>
      </c>
      <c r="F19" s="57"/>
      <c r="G19" s="153"/>
      <c r="H19" s="153"/>
      <c r="I19" s="163" t="s">
        <v>60</v>
      </c>
      <c r="J19" s="421">
        <f>'METRIC UNITS'!J23</f>
        <v>1</v>
      </c>
      <c r="K19" s="180"/>
      <c r="L19" s="54"/>
      <c r="M19" s="141"/>
      <c r="N19" s="54"/>
      <c r="P19" s="166">
        <f>'METRIC UNITS'!AS24*3.28084</f>
        <v>114.82939999999999</v>
      </c>
      <c r="Q19" s="167">
        <v>49.993719061202256</v>
      </c>
      <c r="R19" s="168">
        <f>'METRIC UNITS'!AU24*2.5208</f>
        <v>4.0951809961198808</v>
      </c>
      <c r="S19" s="169">
        <f>IF('METRIC UNITS'!AV24="out of range","out of range",'METRIC UNITS'!AV24)</f>
        <v>24.695068799012621</v>
      </c>
      <c r="T19" s="169">
        <f>IF('METRIC UNITS'!AW24="out of range","out of range",'METRIC UNITS'!AW24/6.89474)</f>
        <v>66.555218459453002</v>
      </c>
      <c r="U19" s="169">
        <f>IF('METRIC UNITS'!AX24="out of range","out of range",'METRIC UNITS'!AX24/6.89474)</f>
        <v>514.00872056173046</v>
      </c>
      <c r="V19" s="169">
        <f>IF('METRIC UNITS'!AY24="out of range","out of range",'METRIC UNITS'!AY24)</f>
        <v>45.206066706400634</v>
      </c>
      <c r="W19" s="169">
        <f>IF('METRIC UNITS'!AZ24="out of range","out of range",'METRIC UNITS'!AZ24/6.89474)</f>
        <v>289.21687443492152</v>
      </c>
      <c r="X19" s="169">
        <f>IF('METRIC UNITS'!BA24="out of range","out of range",'METRIC UNITS'!BA24/6.89474)</f>
        <v>1471.2101987161825</v>
      </c>
      <c r="Y19" s="169">
        <f>IF('METRIC UNITS'!BB24="out of range","out of range",'METRIC UNITS'!BB24/6.89474)</f>
        <v>63.68797743476383</v>
      </c>
      <c r="Z19" s="169">
        <f>IF('METRIC UNITS'!BC24="out of range","out of range",'METRIC UNITS'!BC24/6.89474)</f>
        <v>281.23204132653547</v>
      </c>
      <c r="AB19" s="166">
        <f>'METRIC UNITS'!BE24*3.28084</f>
        <v>114.82939999999999</v>
      </c>
      <c r="AC19" s="168">
        <f>'METRIC UNITS'!BF24*2.5208</f>
        <v>4.0951809961198808</v>
      </c>
      <c r="AD19" s="166">
        <f>'METRIC UNITS'!BG24*3.28084</f>
        <v>114.82939999999999</v>
      </c>
      <c r="AE19" s="169">
        <f>IF('METRIC UNITS'!BH24="out of range","out of range",'METRIC UNITS'!BH24)</f>
        <v>24.695068799012621</v>
      </c>
      <c r="AF19" s="169">
        <f>IF('METRIC UNITS'!BI24="out of range","out of range",'METRIC UNITS'!BI24/6.89474)</f>
        <v>66.555218459453002</v>
      </c>
      <c r="AG19" s="169">
        <f>IF('METRIC UNITS'!BJ24="out of range","out of range",'METRIC UNITS'!BJ24/6.89474)</f>
        <v>514.00872056173046</v>
      </c>
      <c r="AH19" s="169">
        <f>IF('METRIC UNITS'!BK24="out of range","out of range",'METRIC UNITS'!BK24)</f>
        <v>45.206066706400634</v>
      </c>
      <c r="AI19" s="169">
        <f>IF('METRIC UNITS'!BL24="out of range","out of range",'METRIC UNITS'!BL24/6.89474)</f>
        <v>289.21687443492152</v>
      </c>
      <c r="AJ19" s="169">
        <f>IF('METRIC UNITS'!BM24="out of range","out of range",'METRIC UNITS'!BM24/6.89474)</f>
        <v>1471.2101987161825</v>
      </c>
      <c r="AK19" s="169">
        <f>IF('METRIC UNITS'!BN24="out of range","out of range",'METRIC UNITS'!BN24/6.89474)</f>
        <v>63.68797743476383</v>
      </c>
      <c r="AL19" s="169">
        <f>IF('METRIC UNITS'!BO24="out of range","out of range",'METRIC UNITS'!BO24/6.89474)</f>
        <v>281.23204132653547</v>
      </c>
    </row>
    <row r="20" spans="1:38" ht="18" x14ac:dyDescent="0.4">
      <c r="B20" s="62"/>
      <c r="C20" s="54" t="s">
        <v>75</v>
      </c>
      <c r="D20" s="54"/>
      <c r="E20" s="266">
        <f>'METRIC UNITS'!E25</f>
        <v>1</v>
      </c>
      <c r="F20" s="57"/>
      <c r="I20" s="163" t="s">
        <v>61</v>
      </c>
      <c r="J20" s="421">
        <f>'METRIC UNITS'!J24</f>
        <v>1</v>
      </c>
      <c r="K20" s="180"/>
      <c r="L20" s="54"/>
      <c r="M20" s="141"/>
      <c r="N20" s="54"/>
      <c r="P20" s="166">
        <f>'METRIC UNITS'!AS25*3.28084</f>
        <v>131.2336</v>
      </c>
      <c r="Q20" s="167">
        <v>49.993719061202256</v>
      </c>
      <c r="R20" s="168">
        <f>'METRIC UNITS'!AU25*2.5208</f>
        <v>4.6802068527084355</v>
      </c>
      <c r="S20" s="169">
        <f>IF('METRIC UNITS'!AV25="out of range","out of range",'METRIC UNITS'!AV25)</f>
        <v>31.760067885459666</v>
      </c>
      <c r="T20" s="169">
        <f>IF('METRIC UNITS'!AW25="out of range","out of range",'METRIC UNITS'!AW25/6.89474)</f>
        <v>48.863857074361093</v>
      </c>
      <c r="U20" s="169">
        <f>IF('METRIC UNITS'!AX25="out of range","out of range",'METRIC UNITS'!AX25/6.89474)</f>
        <v>451.68899858413681</v>
      </c>
      <c r="V20" s="169">
        <f>IF('METRIC UNITS'!AY25="out of range","out of range",'METRIC UNITS'!AY25)</f>
        <v>43.972046294712371</v>
      </c>
      <c r="W20" s="169">
        <f>IF('METRIC UNITS'!AZ25="out of range","out of range",'METRIC UNITS'!AZ25/6.89474)</f>
        <v>192.60440859093231</v>
      </c>
      <c r="X20" s="169">
        <f>IF('METRIC UNITS'!BA25="out of range","out of range",'METRIC UNITS'!BA25/6.89474)</f>
        <v>1245.8265542094239</v>
      </c>
      <c r="Y20" s="169">
        <f>IF('METRIC UNITS'!BB25="out of range","out of range",'METRIC UNITS'!BB25/6.89474)</f>
        <v>38.899348720206987</v>
      </c>
      <c r="Z20" s="169">
        <f>IF('METRIC UNITS'!BC25="out of range","out of range",'METRIC UNITS'!BC25/6.89474)</f>
        <v>238.77861873799472</v>
      </c>
      <c r="AB20" s="166">
        <f>'METRIC UNITS'!BE25*3.28084</f>
        <v>131.2336</v>
      </c>
      <c r="AC20" s="168">
        <f>'METRIC UNITS'!BF25*2.5208</f>
        <v>4.6802068527084355</v>
      </c>
      <c r="AD20" s="166">
        <f>'METRIC UNITS'!BG25*3.28084</f>
        <v>131.2336</v>
      </c>
      <c r="AE20" s="169">
        <f>IF('METRIC UNITS'!BH25="out of range","out of range",'METRIC UNITS'!BH25)</f>
        <v>31.760067885459666</v>
      </c>
      <c r="AF20" s="169">
        <f>IF('METRIC UNITS'!BI25="out of range","out of range",'METRIC UNITS'!BI25/6.89474)</f>
        <v>48.863857074361093</v>
      </c>
      <c r="AG20" s="169">
        <f>IF('METRIC UNITS'!BJ25="out of range","out of range",'METRIC UNITS'!BJ25/6.89474)</f>
        <v>451.68899858413681</v>
      </c>
      <c r="AH20" s="169">
        <f>IF('METRIC UNITS'!BK25="out of range","out of range",'METRIC UNITS'!BK25)</f>
        <v>43.972046294712371</v>
      </c>
      <c r="AI20" s="169">
        <f>IF('METRIC UNITS'!BL25="out of range","out of range",'METRIC UNITS'!BL25/6.89474)</f>
        <v>192.60440859093231</v>
      </c>
      <c r="AJ20" s="169">
        <f>IF('METRIC UNITS'!BM25="out of range","out of range",'METRIC UNITS'!BM25/6.89474)</f>
        <v>1245.8265542094239</v>
      </c>
      <c r="AK20" s="169">
        <f>IF('METRIC UNITS'!BN25="out of range","out of range",'METRIC UNITS'!BN25/6.89474)</f>
        <v>38.899348720206987</v>
      </c>
      <c r="AL20" s="169">
        <f>IF('METRIC UNITS'!BO25="out of range","out of range",'METRIC UNITS'!BO25/6.89474)</f>
        <v>238.77861873799472</v>
      </c>
    </row>
    <row r="21" spans="1:38" ht="19.5" customHeight="1" thickBot="1" x14ac:dyDescent="0.45">
      <c r="B21" s="62"/>
      <c r="C21" s="54" t="s">
        <v>254</v>
      </c>
      <c r="D21" s="54"/>
      <c r="E21" s="266">
        <f>'METRIC UNITS'!E26*2.20462</f>
        <v>22046.199999999997</v>
      </c>
      <c r="F21" s="152"/>
      <c r="I21" s="163" t="s">
        <v>62</v>
      </c>
      <c r="J21" s="421">
        <f>'METRIC UNITS'!J25</f>
        <v>1</v>
      </c>
      <c r="K21" s="180"/>
      <c r="L21" s="54"/>
      <c r="M21" s="141"/>
      <c r="N21" s="54"/>
      <c r="P21" s="166">
        <f>'METRIC UNITS'!AS26*3.28084</f>
        <v>147.6378</v>
      </c>
      <c r="Q21" s="167">
        <v>49.993719061202256</v>
      </c>
      <c r="R21" s="168">
        <f>'METRIC UNITS'!AU26*2.5208</f>
        <v>5.2652327092969902</v>
      </c>
      <c r="S21" s="169">
        <f>IF('METRIC UNITS'!AV26="out of range","out of range",'METRIC UNITS'!AV26)</f>
        <v>39.612135918940879</v>
      </c>
      <c r="T21" s="169">
        <f>IF('METRIC UNITS'!AW26="out of range","out of range",'METRIC UNITS'!AW26/6.89474)</f>
        <v>37.248991509727993</v>
      </c>
      <c r="U21" s="169">
        <f>IF('METRIC UNITS'!AX26="out of range","out of range",'METRIC UNITS'!AX26/6.89474)</f>
        <v>403.74375046093274</v>
      </c>
      <c r="V21" s="169">
        <f>IF('METRIC UNITS'!AY26="out of range","out of range",'METRIC UNITS'!AY26)</f>
        <v>44.479447502759776</v>
      </c>
      <c r="W21" s="169">
        <f>IF('METRIC UNITS'!AZ26="out of range","out of range",'METRIC UNITS'!AZ26/6.89474)</f>
        <v>134.04409854504596</v>
      </c>
      <c r="X21" s="169">
        <f>IF('METRIC UNITS'!BA26="out of range","out of range",'METRIC UNITS'!BA26/6.89474)</f>
        <v>1078.4273219649181</v>
      </c>
      <c r="Y21" s="169">
        <f>IF('METRIC UNITS'!BB26="out of range","out of range",'METRIC UNITS'!BB26/6.89474)</f>
        <v>24.949404850891668</v>
      </c>
      <c r="Z21" s="169">
        <f>IF('METRIC UNITS'!BC26="out of range","out of range",'METRIC UNITS'!BC26/6.89474)</f>
        <v>195.13367063368418</v>
      </c>
      <c r="AB21" s="181">
        <f>'METRIC UNITS'!BE26*3.28084</f>
        <v>147.6378</v>
      </c>
      <c r="AC21" s="182">
        <f>'METRIC UNITS'!BF26*2.5208</f>
        <v>5.2652327092969902</v>
      </c>
      <c r="AD21" s="181">
        <f>'METRIC UNITS'!BG26*3.28084</f>
        <v>147.6378</v>
      </c>
      <c r="AE21" s="183">
        <f>IF('METRIC UNITS'!BH26="out of range","out of range",'METRIC UNITS'!BH26)</f>
        <v>39.612135918940879</v>
      </c>
      <c r="AF21" s="183">
        <f>IF('METRIC UNITS'!BI26="out of range","out of range",'METRIC UNITS'!BI26/6.89474)</f>
        <v>37.248991509727993</v>
      </c>
      <c r="AG21" s="183">
        <f>IF('METRIC UNITS'!BJ26="out of range","out of range",'METRIC UNITS'!BJ26/6.89474)</f>
        <v>403.74375046093274</v>
      </c>
      <c r="AH21" s="183">
        <f>IF('METRIC UNITS'!BK26="out of range","out of range",'METRIC UNITS'!BK26)</f>
        <v>44.479447502759776</v>
      </c>
      <c r="AI21" s="183">
        <f>IF('METRIC UNITS'!BL26="out of range","out of range",'METRIC UNITS'!BL26/6.89474)</f>
        <v>134.04409854504596</v>
      </c>
      <c r="AJ21" s="183">
        <f>IF('METRIC UNITS'!BM26="out of range","out of range",'METRIC UNITS'!BM26/6.89474)</f>
        <v>1078.4273219649181</v>
      </c>
      <c r="AK21" s="183">
        <f>IF('METRIC UNITS'!BN26="out of range","out of range",'METRIC UNITS'!BN26/6.89474)</f>
        <v>24.949404850891668</v>
      </c>
      <c r="AL21" s="183">
        <f>IF('METRIC UNITS'!BO26="out of range","out of range",'METRIC UNITS'!BO26/6.89474)</f>
        <v>195.13367063368418</v>
      </c>
    </row>
    <row r="22" spans="1:38" ht="19.2" thickTop="1" thickBot="1" x14ac:dyDescent="0.45">
      <c r="B22" s="62"/>
      <c r="C22" s="54" t="s">
        <v>255</v>
      </c>
      <c r="D22" s="54"/>
      <c r="E22" s="266">
        <f>'METRIC UNITS'!E27*2.20462</f>
        <v>22046.199999999997</v>
      </c>
      <c r="F22" s="152"/>
      <c r="I22" s="163" t="s">
        <v>63</v>
      </c>
      <c r="J22" s="421">
        <f>'METRIC UNITS'!J26</f>
        <v>1</v>
      </c>
      <c r="K22" s="180"/>
      <c r="L22" s="54"/>
      <c r="M22" s="141"/>
      <c r="N22" s="54"/>
      <c r="P22" s="47">
        <f>'METRIC UNITS'!AS27*3.28084</f>
        <v>164.042</v>
      </c>
      <c r="Q22" s="48">
        <v>49.993719061202256</v>
      </c>
      <c r="R22" s="47">
        <f>'METRIC UNITS'!AU27*2.5208</f>
        <v>5.8502585658855448</v>
      </c>
      <c r="S22" s="49">
        <f>IF('METRIC UNITS'!AV27="out of range","out of range",'METRIC UNITS'!AV27)</f>
        <v>48.165706682239133</v>
      </c>
      <c r="T22" s="49">
        <f>IF('METRIC UNITS'!AW27="out of range","out of range",'METRIC UNITS'!AW27/6.89474)</f>
        <v>29.318526115832178</v>
      </c>
      <c r="U22" s="49">
        <f>IF('METRIC UNITS'!AX27="out of range","out of range",'METRIC UNITS'!AX27/6.89474)</f>
        <v>366.32836889954251</v>
      </c>
      <c r="V22" s="49">
        <f>IF('METRIC UNITS'!AY27="out of range","out of range",'METRIC UNITS'!AY27)</f>
        <v>46.770714090153959</v>
      </c>
      <c r="W22" s="49">
        <f>IF('METRIC UNITS'!AZ27="out of range","out of range",'METRIC UNITS'!AZ27/6.89474)</f>
        <v>97.958336647646135</v>
      </c>
      <c r="X22" s="49">
        <f>IF('METRIC UNITS'!BA27="out of range","out of range",'METRIC UNITS'!BA27/6.89474)</f>
        <v>949.54039373967885</v>
      </c>
      <c r="Y22" s="49">
        <f>IF('METRIC UNITS'!BB27="out of range","out of range",'METRIC UNITS'!BB27/6.89474)</f>
        <v>16.686111125570779</v>
      </c>
      <c r="Z22" s="49">
        <f>IF('METRIC UNITS'!BC27="out of range","out of range",'METRIC UNITS'!BC27/6.89474)</f>
        <v>152.42658441962109</v>
      </c>
      <c r="AB22" s="47">
        <f>'METRIC UNITS'!BE27*3.28084</f>
        <v>164.042</v>
      </c>
      <c r="AC22" s="48">
        <f>'METRIC UNITS'!BF27*2.5208</f>
        <v>5.8502585658855448</v>
      </c>
      <c r="AD22" s="47">
        <f>'METRIC UNITS'!BG27*3.28084</f>
        <v>164.042</v>
      </c>
      <c r="AE22" s="49">
        <f>IF('METRIC UNITS'!BH27="out of range","out of range",'METRIC UNITS'!BH27)</f>
        <v>48.165706682239133</v>
      </c>
      <c r="AF22" s="49">
        <f>IF('METRIC UNITS'!BI27="out of range","out of range",'METRIC UNITS'!BI27/6.89474)</f>
        <v>29.318526115832178</v>
      </c>
      <c r="AG22" s="49">
        <f>IF('METRIC UNITS'!BJ27="out of range","out of range",'METRIC UNITS'!BJ27/6.89474)</f>
        <v>366.32836889954251</v>
      </c>
      <c r="AH22" s="49">
        <f>IF('METRIC UNITS'!BK27="out of range","out of range",'METRIC UNITS'!BK27)</f>
        <v>46.770714090153959</v>
      </c>
      <c r="AI22" s="49">
        <f>IF('METRIC UNITS'!BL27="out of range","out of range",'METRIC UNITS'!BL27/6.89474)</f>
        <v>97.958336647646135</v>
      </c>
      <c r="AJ22" s="49">
        <f>IF('METRIC UNITS'!BM27="out of range","out of range",'METRIC UNITS'!BM27/6.89474)</f>
        <v>949.54039373967885</v>
      </c>
      <c r="AK22" s="49">
        <f>IF('METRIC UNITS'!BN27="out of range","out of range",'METRIC UNITS'!BN27/6.89474)</f>
        <v>16.686111125570779</v>
      </c>
      <c r="AL22" s="49">
        <f>IF('METRIC UNITS'!BO27="out of range","out of range",'METRIC UNITS'!BO27/6.89474)</f>
        <v>152.42658441962109</v>
      </c>
    </row>
    <row r="23" spans="1:38" ht="18.600000000000001" thickTop="1" x14ac:dyDescent="0.35">
      <c r="B23" s="62"/>
      <c r="C23" s="85" t="s">
        <v>256</v>
      </c>
      <c r="D23" s="85"/>
      <c r="E23" s="266">
        <f>'METRIC UNITS'!E28*2.20462</f>
        <v>22046.199999999997</v>
      </c>
      <c r="F23" s="152"/>
      <c r="I23" s="163"/>
      <c r="J23" s="184"/>
      <c r="K23" s="184"/>
      <c r="L23" s="54"/>
      <c r="M23" s="141"/>
      <c r="N23" s="54"/>
      <c r="P23" s="166">
        <f>'METRIC UNITS'!AS28*3.28084</f>
        <v>196.85040000000001</v>
      </c>
      <c r="Q23" s="167">
        <v>49.993719061202256</v>
      </c>
      <c r="R23" s="168">
        <f>'METRIC UNITS'!AU28*2.5208</f>
        <v>7.0203102790626533</v>
      </c>
      <c r="S23" s="169">
        <f>IF('METRIC UNITS'!AV28="out of range","out of range",'METRIC UNITS'!AV28)</f>
        <v>67.063632865553899</v>
      </c>
      <c r="T23" s="169">
        <f>IF('METRIC UNITS'!AW28="out of range","out of range",'METRIC UNITS'!AW28/6.89474)</f>
        <v>19.659356699905064</v>
      </c>
      <c r="U23" s="169">
        <f>IF('METRIC UNITS'!AX28="out of range","out of range",'METRIC UNITS'!AX28/6.89474)</f>
        <v>308.02598456438221</v>
      </c>
      <c r="V23" s="169">
        <f>IF('METRIC UNITS'!AY28="out of range","out of range",'METRIC UNITS'!AY28)</f>
        <v>56.779015264230146</v>
      </c>
      <c r="W23" s="169">
        <f>IF('METRIC UNITS'!AZ28="out of range","out of range",'METRIC UNITS'!AZ28/6.89474)</f>
        <v>58.406920886718297</v>
      </c>
      <c r="X23" s="169">
        <f>IF('METRIC UNITS'!BA28="out of range","out of range",'METRIC UNITS'!BA28/6.89474)</f>
        <v>764.70585512757918</v>
      </c>
      <c r="Y23" s="169">
        <f>IF('METRIC UNITS'!BB28="out of range","out of range",'METRIC UNITS'!BB28/6.89474)</f>
        <v>8.2771355474601922</v>
      </c>
      <c r="Z23" s="169">
        <f>IF('METRIC UNITS'!BC28="out of range","out of range",'METRIC UNITS'!BC28/6.89474)</f>
        <v>90.810903829245675</v>
      </c>
      <c r="AB23" s="159">
        <f>'METRIC UNITS'!BE28*3.28084</f>
        <v>196.85040000000001</v>
      </c>
      <c r="AC23" s="161">
        <f>'METRIC UNITS'!BF28*2.5208</f>
        <v>7.0203102790626533</v>
      </c>
      <c r="AD23" s="159">
        <f>'METRIC UNITS'!BG28*3.28084</f>
        <v>196.85040000000001</v>
      </c>
      <c r="AE23" s="162">
        <f>IF('METRIC UNITS'!BH28="out of range","out of range",'METRIC UNITS'!BH28)</f>
        <v>67.063632865553899</v>
      </c>
      <c r="AF23" s="162">
        <f>IF('METRIC UNITS'!BI28="out of range","out of range",'METRIC UNITS'!BI28/6.89474)</f>
        <v>19.659356699905064</v>
      </c>
      <c r="AG23" s="162">
        <f>IF('METRIC UNITS'!BJ28="out of range","out of range",'METRIC UNITS'!BJ28/6.89474)</f>
        <v>308.02598456438221</v>
      </c>
      <c r="AH23" s="162">
        <f>IF('METRIC UNITS'!BK28="out of range","out of range",'METRIC UNITS'!BK28)</f>
        <v>56.779015264230146</v>
      </c>
      <c r="AI23" s="162">
        <f>IF('METRIC UNITS'!BL28="out of range","out of range",'METRIC UNITS'!BL28/6.89474)</f>
        <v>58.406920886718297</v>
      </c>
      <c r="AJ23" s="162">
        <f>IF('METRIC UNITS'!BM28="out of range","out of range",'METRIC UNITS'!BM28/6.89474)</f>
        <v>764.70585512757918</v>
      </c>
      <c r="AK23" s="162">
        <f>IF('METRIC UNITS'!BN28="out of range","out of range",'METRIC UNITS'!BN28/6.89474)</f>
        <v>8.2771355474601922</v>
      </c>
      <c r="AL23" s="162">
        <f>IF('METRIC UNITS'!BO28="out of range","out of range",'METRIC UNITS'!BO28/6.89474)</f>
        <v>90.810903829245675</v>
      </c>
    </row>
    <row r="24" spans="1:38" x14ac:dyDescent="0.3">
      <c r="B24" s="62"/>
      <c r="C24" s="85" t="s">
        <v>257</v>
      </c>
      <c r="D24" s="85"/>
      <c r="E24" s="266">
        <f>'METRIC UNITS'!E29*2.20462</f>
        <v>22046.199999999997</v>
      </c>
      <c r="F24" s="152"/>
      <c r="I24" s="72"/>
      <c r="L24" s="54"/>
      <c r="M24" s="141"/>
      <c r="N24" s="54"/>
      <c r="P24" s="166">
        <f>'METRIC UNITS'!AS29*3.28084</f>
        <v>229.65879999999999</v>
      </c>
      <c r="Q24" s="167">
        <v>49.993719061202256</v>
      </c>
      <c r="R24" s="168">
        <f>'METRIC UNITS'!AU29*2.5208</f>
        <v>8.1903619922397617</v>
      </c>
      <c r="S24" s="169">
        <f>IF('METRIC UNITS'!AV29="out of range","out of range",'METRIC UNITS'!AV29)</f>
        <v>87.896148325349941</v>
      </c>
      <c r="T24" s="169">
        <f>IF('METRIC UNITS'!AW29="out of range","out of range",'METRIC UNITS'!AW29/6.89474)</f>
        <v>14.206416978963215</v>
      </c>
      <c r="U24" s="169">
        <f>IF('METRIC UNITS'!AX29="out of range","out of range",'METRIC UNITS'!AX29/6.89474)</f>
        <v>270.88143784749298</v>
      </c>
      <c r="V24" s="169">
        <f>IF('METRIC UNITS'!AY29="out of range","out of range",'METRIC UNITS'!AY29)</f>
        <v>64.970353749642157</v>
      </c>
      <c r="W24" s="169">
        <f>IF('METRIC UNITS'!AZ29="out of range","out of range",'METRIC UNITS'!AZ29/6.89474)</f>
        <v>38.894041253133246</v>
      </c>
      <c r="X24" s="169">
        <f>IF('METRIC UNITS'!BA29="out of range","out of range",'METRIC UNITS'!BA29/6.89474)</f>
        <v>639.01131727967584</v>
      </c>
      <c r="Y24" s="169">
        <f>IF('METRIC UNITS'!BB29="out of range","out of range",'METRIC UNITS'!BB29/6.89474)</f>
        <v>4.5835707102084671</v>
      </c>
      <c r="Z24" s="169">
        <f>IF('METRIC UNITS'!BC29="out of range","out of range",'METRIC UNITS'!BC29/6.89474)</f>
        <v>59.257934129300295</v>
      </c>
      <c r="AB24" s="166">
        <f>'METRIC UNITS'!BE29*3.28084</f>
        <v>229.65879999999999</v>
      </c>
      <c r="AC24" s="168">
        <f>'METRIC UNITS'!BF29*2.5208</f>
        <v>8.1903619922397617</v>
      </c>
      <c r="AD24" s="166">
        <f>'METRIC UNITS'!BG29*3.28084</f>
        <v>229.65879999999999</v>
      </c>
      <c r="AE24" s="169">
        <f>IF('METRIC UNITS'!BH29="out of range","out of range",'METRIC UNITS'!BH29)</f>
        <v>87.896148325349941</v>
      </c>
      <c r="AF24" s="169">
        <f>IF('METRIC UNITS'!BI29="out of range","out of range",'METRIC UNITS'!BI29/6.89474)</f>
        <v>14.206416978963215</v>
      </c>
      <c r="AG24" s="169">
        <f>IF('METRIC UNITS'!BJ29="out of range","out of range",'METRIC UNITS'!BJ29/6.89474)</f>
        <v>270.88143784749298</v>
      </c>
      <c r="AH24" s="169">
        <f>IF('METRIC UNITS'!BK29="out of range","out of range",'METRIC UNITS'!BK29)</f>
        <v>64.970353749642157</v>
      </c>
      <c r="AI24" s="169">
        <f>IF('METRIC UNITS'!BL29="out of range","out of range",'METRIC UNITS'!BL29/6.89474)</f>
        <v>38.894041253133246</v>
      </c>
      <c r="AJ24" s="169">
        <f>IF('METRIC UNITS'!BM29="out of range","out of range",'METRIC UNITS'!BM29/6.89474)</f>
        <v>639.01131727967584</v>
      </c>
      <c r="AK24" s="169">
        <f>IF('METRIC UNITS'!BN29="out of range","out of range",'METRIC UNITS'!BN29/6.89474)</f>
        <v>4.5835707102084671</v>
      </c>
      <c r="AL24" s="169">
        <f>IF('METRIC UNITS'!BO29="out of range","out of range",'METRIC UNITS'!BO29/6.89474)</f>
        <v>59.257934129300295</v>
      </c>
    </row>
    <row r="25" spans="1:38" ht="22.8" x14ac:dyDescent="0.4">
      <c r="B25" s="62"/>
      <c r="C25" s="185" t="s">
        <v>599</v>
      </c>
      <c r="D25" s="185"/>
      <c r="E25" s="186"/>
      <c r="F25" s="186"/>
      <c r="G25" s="186"/>
      <c r="H25" s="186"/>
      <c r="I25" s="186"/>
      <c r="J25" s="187"/>
      <c r="K25" s="187"/>
      <c r="L25" s="188"/>
      <c r="M25" s="189"/>
      <c r="N25" s="60"/>
      <c r="P25" s="166">
        <f>'METRIC UNITS'!AS30*3.28084</f>
        <v>262.46719999999999</v>
      </c>
      <c r="Q25" s="167">
        <v>49.993719061202256</v>
      </c>
      <c r="R25" s="168">
        <f>'METRIC UNITS'!AU30*2.5208</f>
        <v>9.360413705416871</v>
      </c>
      <c r="S25" s="169">
        <f>IF('METRIC UNITS'!AV30="out of range","out of range",'METRIC UNITS'!AV30)</f>
        <v>110.21739711131997</v>
      </c>
      <c r="T25" s="169">
        <f>IF('METRIC UNITS'!AW30="out of range","out of range",'METRIC UNITS'!AW30/6.89474)</f>
        <v>10.864633297134409</v>
      </c>
      <c r="U25" s="169">
        <f>IF('METRIC UNITS'!AX30="out of range","out of range",'METRIC UNITS'!AX30/6.89474)</f>
        <v>241.51806364439739</v>
      </c>
      <c r="V25" s="169">
        <f>IF('METRIC UNITS'!AY30="out of range","out of range",'METRIC UNITS'!AY30)</f>
        <v>70.884338199084453</v>
      </c>
      <c r="W25" s="169">
        <f>IF('METRIC UNITS'!AZ30="out of range","out of range",'METRIC UNITS'!AZ30/6.89474)</f>
        <v>28.030005998088551</v>
      </c>
      <c r="X25" s="169">
        <f>IF('METRIC UNITS'!BA30="out of range","out of range",'METRIC UNITS'!BA30/6.89474)</f>
        <v>548.25363563013616</v>
      </c>
      <c r="Y25" s="169">
        <f>IF('METRIC UNITS'!BB30="out of range","out of range",'METRIC UNITS'!BB30/6.89474)</f>
        <v>2.7645764689508137</v>
      </c>
      <c r="Z25" s="169">
        <f>IF('METRIC UNITS'!BC30="out of range","out of range",'METRIC UNITS'!BC30/6.89474)</f>
        <v>41.337027528289681</v>
      </c>
      <c r="AB25" s="166">
        <f>'METRIC UNITS'!BE30*3.28084</f>
        <v>262.46719999999999</v>
      </c>
      <c r="AC25" s="168">
        <f>'METRIC UNITS'!BF30*2.5208</f>
        <v>9.360413705416871</v>
      </c>
      <c r="AD25" s="166">
        <f>'METRIC UNITS'!BG30*3.28084</f>
        <v>262.46719999999999</v>
      </c>
      <c r="AE25" s="169">
        <f>IF('METRIC UNITS'!BH30="out of range","out of range",'METRIC UNITS'!BH30)</f>
        <v>110.21739711131997</v>
      </c>
      <c r="AF25" s="169">
        <f>IF('METRIC UNITS'!BI30="out of range","out of range",'METRIC UNITS'!BI30/6.89474)</f>
        <v>10.864633297134409</v>
      </c>
      <c r="AG25" s="169">
        <f>IF('METRIC UNITS'!BJ30="out of range","out of range",'METRIC UNITS'!BJ30/6.89474)</f>
        <v>241.51806364439739</v>
      </c>
      <c r="AH25" s="169">
        <f>IF('METRIC UNITS'!BK30="out of range","out of range",'METRIC UNITS'!BK30)</f>
        <v>70.884338199084453</v>
      </c>
      <c r="AI25" s="169">
        <f>IF('METRIC UNITS'!BL30="out of range","out of range",'METRIC UNITS'!BL30/6.89474)</f>
        <v>28.030005998088551</v>
      </c>
      <c r="AJ25" s="169">
        <f>IF('METRIC UNITS'!BM30="out of range","out of range",'METRIC UNITS'!BM30/6.89474)</f>
        <v>548.25363563013616</v>
      </c>
      <c r="AK25" s="169">
        <f>IF('METRIC UNITS'!BN30="out of range","out of range",'METRIC UNITS'!BN30/6.89474)</f>
        <v>2.7645764689508137</v>
      </c>
      <c r="AL25" s="169">
        <f>IF('METRIC UNITS'!BO30="out of range","out of range",'METRIC UNITS'!BO30/6.89474)</f>
        <v>41.337027528289681</v>
      </c>
    </row>
    <row r="26" spans="1:38" ht="22.8" x14ac:dyDescent="0.4">
      <c r="B26" s="62"/>
      <c r="C26" s="512" t="s">
        <v>1</v>
      </c>
      <c r="D26" s="512"/>
      <c r="E26" s="512"/>
      <c r="F26" s="512"/>
      <c r="G26" s="512"/>
      <c r="H26" s="322"/>
      <c r="I26" s="512" t="s">
        <v>555</v>
      </c>
      <c r="J26" s="512"/>
      <c r="K26" s="512"/>
      <c r="L26" s="512"/>
      <c r="M26" s="189"/>
      <c r="N26" s="60"/>
      <c r="P26" s="166">
        <f>'METRIC UNITS'!AS31*3.28084</f>
        <v>295.2756</v>
      </c>
      <c r="Q26" s="167">
        <v>49.993719061202256</v>
      </c>
      <c r="R26" s="168">
        <f>'METRIC UNITS'!AU31*2.5208</f>
        <v>10.53046541859398</v>
      </c>
      <c r="S26" s="169">
        <f>IF('METRIC UNITS'!AV31="out of range","out of range",'METRIC UNITS'!AV31)</f>
        <v>133.68087647954624</v>
      </c>
      <c r="T26" s="169">
        <f>IF('METRIC UNITS'!AW31="out of range","out of range",'METRIC UNITS'!AW31/6.89474)</f>
        <v>8.6734594268695009</v>
      </c>
      <c r="U26" s="169">
        <f>IF('METRIC UNITS'!AX31="out of range","out of range",'METRIC UNITS'!AX31/6.89474)</f>
        <v>217.77857795627409</v>
      </c>
      <c r="V26" s="169">
        <f>IF('METRIC UNITS'!AY31="out of range","out of range",'METRIC UNITS'!AY31)</f>
        <v>75.473094570295416</v>
      </c>
      <c r="W26" s="169">
        <f>IF('METRIC UNITS'!AZ31="out of range","out of range",'METRIC UNITS'!AZ31/6.89474)</f>
        <v>21.401447547605134</v>
      </c>
      <c r="X26" s="169">
        <f>IF('METRIC UNITS'!BA31="out of range","out of range",'METRIC UNITS'!BA31/6.89474)</f>
        <v>479.77062632603253</v>
      </c>
      <c r="Y26" s="169">
        <f>IF('METRIC UNITS'!BB31="out of range","out of range",'METRIC UNITS'!BB31/6.89474)</f>
        <v>1.7842776694644467</v>
      </c>
      <c r="Z26" s="169">
        <f>IF('METRIC UNITS'!BC31="out of range","out of range",'METRIC UNITS'!BC31/6.89474)</f>
        <v>30.484304625761332</v>
      </c>
      <c r="AB26" s="166">
        <f>'METRIC UNITS'!BE31*3.28084</f>
        <v>295.2756</v>
      </c>
      <c r="AC26" s="168">
        <f>'METRIC UNITS'!BF31*2.5208</f>
        <v>10.53046541859398</v>
      </c>
      <c r="AD26" s="166">
        <f>'METRIC UNITS'!BG31*3.28084</f>
        <v>295.2756</v>
      </c>
      <c r="AE26" s="169">
        <f>IF('METRIC UNITS'!BH31="out of range","out of range",'METRIC UNITS'!BH31)</f>
        <v>133.68087647954624</v>
      </c>
      <c r="AF26" s="169">
        <f>IF('METRIC UNITS'!BI31="out of range","out of range",'METRIC UNITS'!BI31/6.89474)</f>
        <v>8.6734594268695009</v>
      </c>
      <c r="AG26" s="169">
        <f>IF('METRIC UNITS'!BJ31="out of range","out of range",'METRIC UNITS'!BJ31/6.89474)</f>
        <v>217.77857795627409</v>
      </c>
      <c r="AH26" s="169">
        <f>IF('METRIC UNITS'!BK31="out of range","out of range",'METRIC UNITS'!BK31)</f>
        <v>75.473094570295416</v>
      </c>
      <c r="AI26" s="169">
        <f>IF('METRIC UNITS'!BL31="out of range","out of range",'METRIC UNITS'!BL31/6.89474)</f>
        <v>21.401447547605134</v>
      </c>
      <c r="AJ26" s="169">
        <f>IF('METRIC UNITS'!BM31="out of range","out of range",'METRIC UNITS'!BM31/6.89474)</f>
        <v>479.77062632603253</v>
      </c>
      <c r="AK26" s="169">
        <f>IF('METRIC UNITS'!BN31="out of range","out of range",'METRIC UNITS'!BN31/6.89474)</f>
        <v>1.7842776694644467</v>
      </c>
      <c r="AL26" s="169">
        <f>IF('METRIC UNITS'!BO31="out of range","out of range",'METRIC UNITS'!BO31/6.89474)</f>
        <v>30.484304625761332</v>
      </c>
    </row>
    <row r="27" spans="1:38" ht="17.399999999999999" x14ac:dyDescent="0.3">
      <c r="B27" s="62"/>
      <c r="C27" s="196"/>
      <c r="D27" s="196"/>
      <c r="E27" s="509" t="s">
        <v>554</v>
      </c>
      <c r="F27" s="601" t="s">
        <v>613</v>
      </c>
      <c r="G27" s="602"/>
      <c r="H27" s="323"/>
      <c r="I27" s="513" t="s">
        <v>559</v>
      </c>
      <c r="J27" s="511"/>
      <c r="K27" s="511"/>
      <c r="L27" s="511"/>
      <c r="M27" s="198"/>
      <c r="N27" s="155"/>
      <c r="P27" s="166">
        <f>'METRIC UNITS'!AS32*3.28084</f>
        <v>328.084</v>
      </c>
      <c r="Q27" s="167">
        <v>49.993719061202256</v>
      </c>
      <c r="R27" s="168">
        <f>'METRIC UNITS'!AU32*2.5208</f>
        <v>11.70051713177109</v>
      </c>
      <c r="S27" s="169">
        <f>IF('METRIC UNITS'!AV32="out of range","out of range",'METRIC UNITS'!AV32)</f>
        <v>158.02100971019939</v>
      </c>
      <c r="T27" s="169">
        <f>IF('METRIC UNITS'!AW32="out of range","out of range",'METRIC UNITS'!AW32/6.89474)</f>
        <v>7.152055241713116</v>
      </c>
      <c r="U27" s="169">
        <f>IF('METRIC UNITS'!AX32="out of range","out of range",'METRIC UNITS'!AX32/6.89474)</f>
        <v>198.21858825663531</v>
      </c>
      <c r="V27" s="169">
        <f>IF('METRIC UNITS'!AY32="out of range","out of range",'METRIC UNITS'!AY32)</f>
        <v>79.188624587534818</v>
      </c>
      <c r="W27" s="169">
        <f>IF('METRIC UNITS'!AZ32="out of range","out of range",'METRIC UNITS'!AZ32/6.89474)</f>
        <v>17.061565023954998</v>
      </c>
      <c r="X27" s="169">
        <f>IF('METRIC UNITS'!BA32="out of range","out of range",'METRIC UNITS'!BA32/6.89474)</f>
        <v>426.32315700944901</v>
      </c>
      <c r="Y27" s="169">
        <f>IF('METRIC UNITS'!BB32="out of range","out of range",'METRIC UNITS'!BB32/6.89474)</f>
        <v>1.2162616356202898</v>
      </c>
      <c r="Z27" s="169">
        <f>IF('METRIC UNITS'!BC32="out of range","out of range",'METRIC UNITS'!BC32/6.89474)</f>
        <v>23.479159540653267</v>
      </c>
      <c r="AB27" s="166">
        <f>'METRIC UNITS'!BE32*3.28084</f>
        <v>328.084</v>
      </c>
      <c r="AC27" s="168">
        <f>'METRIC UNITS'!BF32*2.5208</f>
        <v>11.70051713177109</v>
      </c>
      <c r="AD27" s="166">
        <f>'METRIC UNITS'!BG32*3.28084</f>
        <v>328.084</v>
      </c>
      <c r="AE27" s="169">
        <f>IF('METRIC UNITS'!BH32="out of range","out of range",'METRIC UNITS'!BH32)</f>
        <v>158.02100971019939</v>
      </c>
      <c r="AF27" s="169">
        <f>IF('METRIC UNITS'!BI32="out of range","out of range",'METRIC UNITS'!BI32/6.89474)</f>
        <v>7.152055241713116</v>
      </c>
      <c r="AG27" s="169">
        <f>IF('METRIC UNITS'!BJ32="out of range","out of range",'METRIC UNITS'!BJ32/6.89474)</f>
        <v>198.21858825663531</v>
      </c>
      <c r="AH27" s="169">
        <f>IF('METRIC UNITS'!BK32="out of range","out of range",'METRIC UNITS'!BK32)</f>
        <v>79.188624587534818</v>
      </c>
      <c r="AI27" s="169">
        <f>IF('METRIC UNITS'!BL32="out of range","out of range",'METRIC UNITS'!BL32/6.89474)</f>
        <v>17.061565023954998</v>
      </c>
      <c r="AJ27" s="169">
        <f>IF('METRIC UNITS'!BM32="out of range","out of range",'METRIC UNITS'!BM32/6.89474)</f>
        <v>426.32315700944901</v>
      </c>
      <c r="AK27" s="169">
        <f>IF('METRIC UNITS'!BN32="out of range","out of range",'METRIC UNITS'!BN32/6.89474)</f>
        <v>1.2162616356202898</v>
      </c>
      <c r="AL27" s="169">
        <f>IF('METRIC UNITS'!BO32="out of range","out of range",'METRIC UNITS'!BO32/6.89474)</f>
        <v>23.479159540653267</v>
      </c>
    </row>
    <row r="28" spans="1:38" ht="17.399999999999999" x14ac:dyDescent="0.3">
      <c r="B28" s="62"/>
      <c r="C28" s="196"/>
      <c r="D28" s="196"/>
      <c r="E28" s="650"/>
      <c r="F28" s="603">
        <f>'METRIC UNITS'!F33*3.28084</f>
        <v>0</v>
      </c>
      <c r="G28" s="522"/>
      <c r="H28" s="323"/>
      <c r="J28" s="201"/>
      <c r="K28" s="201"/>
      <c r="L28" s="155"/>
      <c r="M28" s="198"/>
      <c r="N28" s="155"/>
      <c r="P28" s="166">
        <f>'METRIC UNITS'!AS33*3.28084</f>
        <v>369.09449999999998</v>
      </c>
      <c r="Q28" s="167">
        <v>49.993719061202256</v>
      </c>
      <c r="R28" s="168">
        <f>'METRIC UNITS'!AU33*2.5208</f>
        <v>13.163081773242476</v>
      </c>
      <c r="S28" s="169">
        <f>IF('METRIC UNITS'!AV33="out of range","out of range",'METRIC UNITS'!AV33)</f>
        <v>189.37567928138245</v>
      </c>
      <c r="T28" s="169">
        <f>IF('METRIC UNITS'!AW33="out of range","out of range",'METRIC UNITS'!AW33/6.89474)</f>
        <v>5.8181945986337782</v>
      </c>
      <c r="U28" s="169">
        <f>IF('METRIC UNITS'!AX33="out of range","out of range",'METRIC UNITS'!AX33/6.89474)</f>
        <v>178.15605250900157</v>
      </c>
      <c r="V28" s="169">
        <f>IF('METRIC UNITS'!AY33="out of range","out of range",'METRIC UNITS'!AY33)</f>
        <v>83.034705366685188</v>
      </c>
      <c r="W28" s="169">
        <f>IF('METRIC UNITS'!AZ33="out of range","out of range",'METRIC UNITS'!AZ33/6.89474)</f>
        <v>13.451031728296085</v>
      </c>
      <c r="X28" s="169">
        <f>IF('METRIC UNITS'!BA33="out of range","out of range",'METRIC UNITS'!BA33/6.89474)</f>
        <v>374.07425925514656</v>
      </c>
      <c r="Y28" s="169">
        <f>IF('METRIC UNITS'!BB33="out of range","out of range",'METRIC UNITS'!BB33/6.89474)</f>
        <v>0.80152139220681629</v>
      </c>
      <c r="Z28" s="169">
        <f>IF('METRIC UNITS'!BC33="out of range","out of range",'METRIC UNITS'!BC33/6.89474)</f>
        <v>17.740504231319818</v>
      </c>
      <c r="AB28" s="166">
        <f>'METRIC UNITS'!BE33*3.28084</f>
        <v>369.09449999999998</v>
      </c>
      <c r="AC28" s="168">
        <f>'METRIC UNITS'!BF33*2.5208</f>
        <v>13.163081773242476</v>
      </c>
      <c r="AD28" s="166">
        <f>'METRIC UNITS'!BG33*3.28084</f>
        <v>369.09449999999998</v>
      </c>
      <c r="AE28" s="169">
        <f>IF('METRIC UNITS'!BH33="out of range","out of range",'METRIC UNITS'!BH33)</f>
        <v>189.37567928138245</v>
      </c>
      <c r="AF28" s="169">
        <f>IF('METRIC UNITS'!BI33="out of range","out of range",'METRIC UNITS'!BI33/6.89474)</f>
        <v>5.8181945986337782</v>
      </c>
      <c r="AG28" s="169">
        <f>IF('METRIC UNITS'!BJ33="out of range","out of range",'METRIC UNITS'!BJ33/6.89474)</f>
        <v>178.15605250900157</v>
      </c>
      <c r="AH28" s="169">
        <f>IF('METRIC UNITS'!BK33="out of range","out of range",'METRIC UNITS'!BK33)</f>
        <v>83.034705366685188</v>
      </c>
      <c r="AI28" s="169">
        <f>IF('METRIC UNITS'!BL33="out of range","out of range",'METRIC UNITS'!BL33/6.89474)</f>
        <v>13.451031728296085</v>
      </c>
      <c r="AJ28" s="169">
        <f>IF('METRIC UNITS'!BM33="out of range","out of range",'METRIC UNITS'!BM33/6.89474)</f>
        <v>374.07425925514656</v>
      </c>
      <c r="AK28" s="169">
        <f>IF('METRIC UNITS'!BN33="out of range","out of range",'METRIC UNITS'!BN33/6.89474)</f>
        <v>0.80152139220681629</v>
      </c>
      <c r="AL28" s="169">
        <f>IF('METRIC UNITS'!BO33="out of range","out of range",'METRIC UNITS'!BO33/6.89474)</f>
        <v>17.740504231319818</v>
      </c>
    </row>
    <row r="29" spans="1:38" ht="18.600000000000001" x14ac:dyDescent="0.3">
      <c r="B29" s="62"/>
      <c r="C29" s="85" t="s">
        <v>607</v>
      </c>
      <c r="D29" s="85"/>
      <c r="E29" s="203">
        <f>'METRIC UNITS'!E34*3.28084</f>
        <v>328.084</v>
      </c>
      <c r="F29" s="604">
        <f>'METRIC UNITS'!F34*3.28084</f>
        <v>328.084</v>
      </c>
      <c r="G29" s="602"/>
      <c r="H29" s="324"/>
      <c r="I29" s="425" t="s">
        <v>65</v>
      </c>
      <c r="J29" s="84"/>
      <c r="K29" s="54"/>
      <c r="L29" s="205"/>
      <c r="M29" s="204"/>
      <c r="N29" s="205"/>
      <c r="P29" s="166">
        <f>'METRIC UNITS'!AS34*3.28084</f>
        <v>410.10500000000002</v>
      </c>
      <c r="Q29" s="167">
        <v>49.993719061202256</v>
      </c>
      <c r="R29" s="168">
        <f>'METRIC UNITS'!AU34*2.5208</f>
        <v>14.625646414713863</v>
      </c>
      <c r="S29" s="169">
        <f>IF('METRIC UNITS'!AV34="out of range","out of range",'METRIC UNITS'!AV34)</f>
        <v>221.49625558775176</v>
      </c>
      <c r="T29" s="169">
        <f>IF('METRIC UNITS'!AW34="out of range","out of range",'METRIC UNITS'!AW34/6.89474)</f>
        <v>4.8751765650298937</v>
      </c>
      <c r="U29" s="169">
        <f>IF('METRIC UNITS'!AX34="out of range","out of range",'METRIC UNITS'!AX34/6.89474)</f>
        <v>161.74775782018068</v>
      </c>
      <c r="V29" s="169">
        <f>IF('METRIC UNITS'!AY34="out of range","out of range",'METRIC UNITS'!AY34)</f>
        <v>86.305710700486387</v>
      </c>
      <c r="W29" s="169">
        <f>IF('METRIC UNITS'!AZ34="out of range","out of range",'METRIC UNITS'!AZ34/6.89474)</f>
        <v>11.015425221176271</v>
      </c>
      <c r="X29" s="169">
        <f>IF('METRIC UNITS'!BA34="out of range","out of range",'METRIC UNITS'!BA34/6.89474)</f>
        <v>333.14250093773489</v>
      </c>
      <c r="Y29" s="169">
        <f>IF('METRIC UNITS'!BB34="out of range","out of range",'METRIC UNITS'!BB34/6.89474)</f>
        <v>0.55840768210148761</v>
      </c>
      <c r="Z29" s="169">
        <f>IF('METRIC UNITS'!BC34="out of range","out of range",'METRIC UNITS'!BC34/6.89474)</f>
        <v>13.924813158556045</v>
      </c>
      <c r="AB29" s="166">
        <f>'METRIC UNITS'!BE34*3.28084</f>
        <v>410.10500000000002</v>
      </c>
      <c r="AC29" s="168">
        <f>'METRIC UNITS'!BF34*2.5208</f>
        <v>14.625646414713863</v>
      </c>
      <c r="AD29" s="166">
        <f>'METRIC UNITS'!BG34*3.28084</f>
        <v>410.10500000000002</v>
      </c>
      <c r="AE29" s="169">
        <f>IF('METRIC UNITS'!BH34="out of range","out of range",'METRIC UNITS'!BH34)</f>
        <v>221.49625558775176</v>
      </c>
      <c r="AF29" s="169">
        <f>IF('METRIC UNITS'!BI34="out of range","out of range",'METRIC UNITS'!BI34/6.89474)</f>
        <v>4.8751765650298937</v>
      </c>
      <c r="AG29" s="169">
        <f>IF('METRIC UNITS'!BJ34="out of range","out of range",'METRIC UNITS'!BJ34/6.89474)</f>
        <v>161.74775782018068</v>
      </c>
      <c r="AH29" s="169">
        <f>IF('METRIC UNITS'!BK34="out of range","out of range",'METRIC UNITS'!BK34)</f>
        <v>86.305710700486387</v>
      </c>
      <c r="AI29" s="169">
        <f>IF('METRIC UNITS'!BL34="out of range","out of range",'METRIC UNITS'!BL34/6.89474)</f>
        <v>11.015425221176271</v>
      </c>
      <c r="AJ29" s="169">
        <f>IF('METRIC UNITS'!BM34="out of range","out of range",'METRIC UNITS'!BM34/6.89474)</f>
        <v>333.14250093773489</v>
      </c>
      <c r="AK29" s="169">
        <f>IF('METRIC UNITS'!BN34="out of range","out of range",'METRIC UNITS'!BN34/6.89474)</f>
        <v>0.55840768210148761</v>
      </c>
      <c r="AL29" s="169">
        <f>IF('METRIC UNITS'!BO34="out of range","out of range",'METRIC UNITS'!BO34/6.89474)</f>
        <v>13.924813158556045</v>
      </c>
    </row>
    <row r="30" spans="1:38" x14ac:dyDescent="0.3">
      <c r="B30" s="62"/>
      <c r="C30" s="206"/>
      <c r="D30" s="206"/>
      <c r="E30" s="207"/>
      <c r="F30" s="504"/>
      <c r="G30" s="505"/>
      <c r="H30" s="325"/>
      <c r="I30" s="208" t="s">
        <v>53</v>
      </c>
      <c r="J30" s="208"/>
      <c r="K30" s="434">
        <f>'METRIC UNITS'!K35</f>
        <v>1</v>
      </c>
      <c r="L30" s="54"/>
      <c r="M30" s="141"/>
      <c r="N30" s="54"/>
      <c r="P30" s="166">
        <f>'METRIC UNITS'!AS35*3.28084</f>
        <v>451.1155</v>
      </c>
      <c r="Q30" s="167">
        <v>49.993719061202256</v>
      </c>
      <c r="R30" s="168">
        <f>'METRIC UNITS'!AU35*2.5208</f>
        <v>16.088211056185248</v>
      </c>
      <c r="S30" s="169">
        <f>IF('METRIC UNITS'!AV35="out of range","out of range",'METRIC UNITS'!AV35)</f>
        <v>254.17622554774712</v>
      </c>
      <c r="T30" s="169">
        <f>IF('METRIC UNITS'!AW35="out of range","out of range",'METRIC UNITS'!AW35/6.89474)</f>
        <v>4.179432814768175</v>
      </c>
      <c r="U30" s="169">
        <f>IF('METRIC UNITS'!AX35="out of range","out of range",'METRIC UNITS'!AX35/6.89474)</f>
        <v>148.08897452934872</v>
      </c>
      <c r="V30" s="169">
        <f>IF('METRIC UNITS'!AY35="out of range","out of range",'METRIC UNITS'!AY35)</f>
        <v>89.201070548784571</v>
      </c>
      <c r="W30" s="169">
        <f>IF('METRIC UNITS'!AZ35="out of range","out of range",'METRIC UNITS'!AZ35/6.89474)</f>
        <v>9.2832001862628211</v>
      </c>
      <c r="X30" s="169">
        <f>IF('METRIC UNITS'!BA35="out of range","out of range",'METRIC UNITS'!BA35/6.89474)</f>
        <v>300.22807879270221</v>
      </c>
      <c r="Y30" s="169">
        <f>IF('METRIC UNITS'!BB35="out of range","out of range",'METRIC UNITS'!BB35/6.89474)</f>
        <v>0.40687932935381682</v>
      </c>
      <c r="Z30" s="169">
        <f>IF('METRIC UNITS'!BC35="out of range","out of range",'METRIC UNITS'!BC35/6.89474)</f>
        <v>11.242673924469397</v>
      </c>
      <c r="AB30" s="166">
        <f>'METRIC UNITS'!BE35*3.28084</f>
        <v>451.1155</v>
      </c>
      <c r="AC30" s="168">
        <f>'METRIC UNITS'!BF35*2.5208</f>
        <v>16.088211056185248</v>
      </c>
      <c r="AD30" s="166">
        <f>'METRIC UNITS'!BG35*3.28084</f>
        <v>451.1155</v>
      </c>
      <c r="AE30" s="169">
        <f>IF('METRIC UNITS'!BH35="out of range","out of range",'METRIC UNITS'!BH35)</f>
        <v>254.17622554774712</v>
      </c>
      <c r="AF30" s="169">
        <f>IF('METRIC UNITS'!BI35="out of range","out of range",'METRIC UNITS'!BI35/6.89474)</f>
        <v>4.179432814768175</v>
      </c>
      <c r="AG30" s="169">
        <f>IF('METRIC UNITS'!BJ35="out of range","out of range",'METRIC UNITS'!BJ35/6.89474)</f>
        <v>148.08897452934872</v>
      </c>
      <c r="AH30" s="169">
        <f>IF('METRIC UNITS'!BK35="out of range","out of range",'METRIC UNITS'!BK35)</f>
        <v>89.201070548784571</v>
      </c>
      <c r="AI30" s="169">
        <f>IF('METRIC UNITS'!BL35="out of range","out of range",'METRIC UNITS'!BL35/6.89474)</f>
        <v>9.2832001862628211</v>
      </c>
      <c r="AJ30" s="169">
        <f>IF('METRIC UNITS'!BM35="out of range","out of range",'METRIC UNITS'!BM35/6.89474)</f>
        <v>300.22807879270221</v>
      </c>
      <c r="AK30" s="169">
        <f>IF('METRIC UNITS'!BN35="out of range","out of range",'METRIC UNITS'!BN35/6.89474)</f>
        <v>0.40687932935381682</v>
      </c>
      <c r="AL30" s="169">
        <f>IF('METRIC UNITS'!BO35="out of range","out of range",'METRIC UNITS'!BO35/6.89474)</f>
        <v>11.242673924469397</v>
      </c>
    </row>
    <row r="31" spans="1:38" ht="18.600000000000001" x14ac:dyDescent="0.3">
      <c r="B31" s="62"/>
      <c r="C31" s="54" t="s">
        <v>64</v>
      </c>
      <c r="D31" s="54"/>
      <c r="E31" s="203">
        <f>'METRIC UNITS'!E36*2.5208</f>
        <v>11.70051713177109</v>
      </c>
      <c r="F31" s="504">
        <f>'METRIC UNITS'!F36*2.5208</f>
        <v>11.70051713177109</v>
      </c>
      <c r="G31" s="505"/>
      <c r="H31" s="326"/>
      <c r="I31" s="66" t="s">
        <v>25</v>
      </c>
      <c r="J31" s="66"/>
      <c r="K31" s="435"/>
      <c r="L31" s="155"/>
      <c r="M31" s="198"/>
      <c r="N31" s="155"/>
      <c r="P31" s="166">
        <f>'METRIC UNITS'!AS36*3.28084</f>
        <v>492.12599999999998</v>
      </c>
      <c r="Q31" s="167">
        <v>49.993719061202256</v>
      </c>
      <c r="R31" s="168">
        <f>'METRIC UNITS'!AU36*2.5208</f>
        <v>17.550775697656633</v>
      </c>
      <c r="S31" s="169">
        <f>IF('METRIC UNITS'!AV36="out of range","out of range",'METRIC UNITS'!AV36)</f>
        <v>287.26912831231459</v>
      </c>
      <c r="T31" s="169">
        <f>IF('METRIC UNITS'!AW36="out of range","out of range",'METRIC UNITS'!AW36/6.89474)</f>
        <v>3.6483271017688579</v>
      </c>
      <c r="U31" s="169">
        <f>IF('METRIC UNITS'!AX36="out of range","out of range",'METRIC UNITS'!AX36/6.89474)</f>
        <v>136.54805847226231</v>
      </c>
      <c r="V31" s="169">
        <f>IF('METRIC UNITS'!AY36="out of range","out of range",'METRIC UNITS'!AY36)</f>
        <v>91.838280631390035</v>
      </c>
      <c r="W31" s="169">
        <f>IF('METRIC UNITS'!AZ36="out of range","out of range",'METRIC UNITS'!AZ36/6.89474)</f>
        <v>7.9984897463422113</v>
      </c>
      <c r="X31" s="169">
        <f>IF('METRIC UNITS'!BA36="out of range","out of range",'METRIC UNITS'!BA36/6.89474)</f>
        <v>273.19514638494212</v>
      </c>
      <c r="Y31" s="169">
        <f>IF('METRIC UNITS'!BB36="out of range","out of range",'METRIC UNITS'!BB36/6.89474)</f>
        <v>0.30754912708476306</v>
      </c>
      <c r="Z31" s="169">
        <f>IF('METRIC UNITS'!BC36="out of range","out of range",'METRIC UNITS'!BC36/6.89474)</f>
        <v>9.2743211413300184</v>
      </c>
      <c r="AB31" s="166">
        <f>'METRIC UNITS'!BE36*3.28084</f>
        <v>492.12599999999998</v>
      </c>
      <c r="AC31" s="168">
        <f>'METRIC UNITS'!BF36*2.5208</f>
        <v>17.550775697656633</v>
      </c>
      <c r="AD31" s="166">
        <f>'METRIC UNITS'!BG36*3.28084</f>
        <v>492.12599999999998</v>
      </c>
      <c r="AE31" s="169">
        <f>IF('METRIC UNITS'!BH36="out of range","out of range",'METRIC UNITS'!BH36)</f>
        <v>287.26912831231459</v>
      </c>
      <c r="AF31" s="169">
        <f>IF('METRIC UNITS'!BI36="out of range","out of range",'METRIC UNITS'!BI36/6.89474)</f>
        <v>3.6483271017688579</v>
      </c>
      <c r="AG31" s="169">
        <f>IF('METRIC UNITS'!BJ36="out of range","out of range",'METRIC UNITS'!BJ36/6.89474)</f>
        <v>136.54805847226231</v>
      </c>
      <c r="AH31" s="169">
        <f>IF('METRIC UNITS'!BK36="out of range","out of range",'METRIC UNITS'!BK36)</f>
        <v>91.838280631390035</v>
      </c>
      <c r="AI31" s="169">
        <f>IF('METRIC UNITS'!BL36="out of range","out of range",'METRIC UNITS'!BL36/6.89474)</f>
        <v>7.9984897463422113</v>
      </c>
      <c r="AJ31" s="169">
        <f>IF('METRIC UNITS'!BM36="out of range","out of range",'METRIC UNITS'!BM36/6.89474)</f>
        <v>273.19514638494212</v>
      </c>
      <c r="AK31" s="169">
        <f>IF('METRIC UNITS'!BN36="out of range","out of range",'METRIC UNITS'!BN36/6.89474)</f>
        <v>0.30754912708476306</v>
      </c>
      <c r="AL31" s="169">
        <f>IF('METRIC UNITS'!BO36="out of range","out of range",'METRIC UNITS'!BO36/6.89474)</f>
        <v>9.2743211413300184</v>
      </c>
    </row>
    <row r="32" spans="1:38" s="54" customFormat="1" x14ac:dyDescent="0.3">
      <c r="A32" s="53"/>
      <c r="B32" s="62"/>
      <c r="C32" s="206"/>
      <c r="D32" s="206"/>
      <c r="E32" s="207"/>
      <c r="F32" s="504"/>
      <c r="G32" s="505"/>
      <c r="H32" s="325"/>
      <c r="J32" s="72"/>
      <c r="K32" s="431"/>
      <c r="M32" s="141"/>
      <c r="O32" s="109"/>
      <c r="P32" s="166">
        <f>'METRIC UNITS'!AS37*3.28084</f>
        <v>574.14700000000005</v>
      </c>
      <c r="Q32" s="167">
        <v>49.993719061202256</v>
      </c>
      <c r="R32" s="168">
        <f>'METRIC UNITS'!AU37*2.5208</f>
        <v>20.475904980599406</v>
      </c>
      <c r="S32" s="169">
        <f>IF('METRIC UNITS'!AV37="out of range","out of range",'METRIC UNITS'!AV37)</f>
        <v>354.30791872039447</v>
      </c>
      <c r="T32" s="169">
        <f>IF('METRIC UNITS'!AW37="out of range","out of range",'METRIC UNITS'!AW37/6.89474)</f>
        <v>2.8966194792540292</v>
      </c>
      <c r="U32" s="169">
        <f>IF('METRIC UNITS'!AX37="out of range","out of range",'METRIC UNITS'!AX37/6.89474)</f>
        <v>118.12556448223863</v>
      </c>
      <c r="V32" s="169">
        <f>IF('METRIC UNITS'!AY37="out of range","out of range",'METRIC UNITS'!AY37)</f>
        <v>96.594109278068402</v>
      </c>
      <c r="W32" s="169">
        <f>IF('METRIC UNITS'!AZ37="out of range","out of range",'METRIC UNITS'!AZ37/6.89474)</f>
        <v>6.2354222757184816</v>
      </c>
      <c r="X32" s="169">
        <f>IF('METRIC UNITS'!BA37="out of range","out of range",'METRIC UNITS'!BA37/6.89474)</f>
        <v>231.44028001411905</v>
      </c>
      <c r="Y32" s="169">
        <f>IF('METRIC UNITS'!BB37="out of range","out of range",'METRIC UNITS'!BB37/6.89474)</f>
        <v>0.19152952323360234</v>
      </c>
      <c r="Z32" s="169">
        <f>IF('METRIC UNITS'!BC37="out of range","out of range",'METRIC UNITS'!BC37/6.89474)</f>
        <v>6.616847367283321</v>
      </c>
      <c r="AA32" s="53"/>
      <c r="AB32" s="166">
        <f>'METRIC UNITS'!BE37*3.28084</f>
        <v>574.14700000000005</v>
      </c>
      <c r="AC32" s="168">
        <f>'METRIC UNITS'!BF37*2.5208</f>
        <v>20.475904980599406</v>
      </c>
      <c r="AD32" s="166">
        <f>'METRIC UNITS'!BG37*3.28084</f>
        <v>574.14700000000005</v>
      </c>
      <c r="AE32" s="169">
        <f>IF('METRIC UNITS'!BH37="out of range","out of range",'METRIC UNITS'!BH37)</f>
        <v>354.30791872039447</v>
      </c>
      <c r="AF32" s="169">
        <f>IF('METRIC UNITS'!BI37="out of range","out of range",'METRIC UNITS'!BI37/6.89474)</f>
        <v>2.8966194792540292</v>
      </c>
      <c r="AG32" s="169">
        <f>IF('METRIC UNITS'!BJ37="out of range","out of range",'METRIC UNITS'!BJ37/6.89474)</f>
        <v>118.12556448223863</v>
      </c>
      <c r="AH32" s="169">
        <f>IF('METRIC UNITS'!BK37="out of range","out of range",'METRIC UNITS'!BK37)</f>
        <v>96.594109278068402</v>
      </c>
      <c r="AI32" s="169">
        <f>IF('METRIC UNITS'!BL37="out of range","out of range",'METRIC UNITS'!BL37/6.89474)</f>
        <v>6.2354222757184816</v>
      </c>
      <c r="AJ32" s="169">
        <f>IF('METRIC UNITS'!BM37="out of range","out of range",'METRIC UNITS'!BM37/6.89474)</f>
        <v>231.44028001411905</v>
      </c>
      <c r="AK32" s="169">
        <f>IF('METRIC UNITS'!BN37="out of range","out of range",'METRIC UNITS'!BN37/6.89474)</f>
        <v>0.19152952323360234</v>
      </c>
      <c r="AL32" s="169">
        <f>IF('METRIC UNITS'!BO37="out of range","out of range",'METRIC UNITS'!BO37/6.89474)</f>
        <v>6.616847367283321</v>
      </c>
    </row>
    <row r="33" spans="1:38" ht="18.600000000000001" x14ac:dyDescent="0.3">
      <c r="B33" s="62"/>
      <c r="C33" s="54" t="s">
        <v>238</v>
      </c>
      <c r="D33" s="54"/>
      <c r="E33" s="203">
        <f>'METRIC UNITS'!E38</f>
        <v>158.02100971019939</v>
      </c>
      <c r="F33" s="504">
        <f>'METRIC UNITS'!F38</f>
        <v>158.02100971019939</v>
      </c>
      <c r="G33" s="505"/>
      <c r="H33" s="327"/>
      <c r="I33" s="66" t="s">
        <v>67</v>
      </c>
      <c r="J33" s="66"/>
      <c r="K33" s="436"/>
      <c r="L33" s="54"/>
      <c r="M33" s="141"/>
      <c r="N33" s="54"/>
      <c r="P33" s="166">
        <f>'METRIC UNITS'!AS38*3.28084</f>
        <v>656.16800000000001</v>
      </c>
      <c r="Q33" s="167">
        <v>49.993719061202256</v>
      </c>
      <c r="R33" s="168">
        <f>'METRIC UNITS'!AU38*2.5208</f>
        <v>23.401034263542179</v>
      </c>
      <c r="S33" s="169">
        <f>IF('METRIC UNITS'!AV38="out of range","out of range",'METRIC UNITS'!AV38)</f>
        <v>422.09238894436766</v>
      </c>
      <c r="T33" s="169">
        <f>IF('METRIC UNITS'!AW38="out of range","out of range",'METRIC UNITS'!AW38/6.89474)</f>
        <v>2.3939920670283579</v>
      </c>
      <c r="U33" s="169">
        <f>IF('METRIC UNITS'!AX38="out of range","out of range",'METRIC UNITS'!AX38/6.89474)</f>
        <v>104.082057582555</v>
      </c>
      <c r="V33" s="169">
        <f>IF('METRIC UNITS'!AY38="out of range","out of range",'METRIC UNITS'!AY38)</f>
        <v>100.87478511151362</v>
      </c>
      <c r="W33" s="169">
        <f>IF('METRIC UNITS'!AZ38="out of range","out of range",'METRIC UNITS'!AZ38/6.89474)</f>
        <v>5.0913125970373647</v>
      </c>
      <c r="X33" s="169">
        <f>IF('METRIC UNITS'!BA38="out of range","out of range",'METRIC UNITS'!BA38/6.89474)</f>
        <v>200.70242469518939</v>
      </c>
      <c r="Y33" s="169">
        <f>IF('METRIC UNITS'!BB38="out of range","out of range",'METRIC UNITS'!BB38/6.89474)</f>
        <v>0.13006142317222488</v>
      </c>
      <c r="Z33" s="169">
        <f>IF('METRIC UNITS'!BC38="out of range","out of range",'METRIC UNITS'!BC38/6.89474)</f>
        <v>4.9420336671941056</v>
      </c>
      <c r="AB33" s="166">
        <f>'METRIC UNITS'!BE38*3.28084</f>
        <v>656.16800000000001</v>
      </c>
      <c r="AC33" s="168">
        <f>'METRIC UNITS'!BF38*2.5208</f>
        <v>23.401034263542179</v>
      </c>
      <c r="AD33" s="166">
        <f>'METRIC UNITS'!BG38*3.28084</f>
        <v>656.16800000000001</v>
      </c>
      <c r="AE33" s="169">
        <f>IF('METRIC UNITS'!BH38="out of range","out of range",'METRIC UNITS'!BH38)</f>
        <v>422.09238894436766</v>
      </c>
      <c r="AF33" s="169">
        <f>IF('METRIC UNITS'!BI38="out of range","out of range",'METRIC UNITS'!BI38/6.89474)</f>
        <v>2.3939920670283579</v>
      </c>
      <c r="AG33" s="169">
        <f>IF('METRIC UNITS'!BJ38="out of range","out of range",'METRIC UNITS'!BJ38/6.89474)</f>
        <v>104.082057582555</v>
      </c>
      <c r="AH33" s="169">
        <f>IF('METRIC UNITS'!BK38="out of range","out of range",'METRIC UNITS'!BK38)</f>
        <v>100.87478511151362</v>
      </c>
      <c r="AI33" s="169">
        <f>IF('METRIC UNITS'!BL38="out of range","out of range",'METRIC UNITS'!BL38/6.89474)</f>
        <v>5.0913125970373647</v>
      </c>
      <c r="AJ33" s="169">
        <f>IF('METRIC UNITS'!BM38="out of range","out of range",'METRIC UNITS'!BM38/6.89474)</f>
        <v>200.70242469518939</v>
      </c>
      <c r="AK33" s="169">
        <f>IF('METRIC UNITS'!BN38="out of range","out of range",'METRIC UNITS'!BN38/6.89474)</f>
        <v>0.13006142317222488</v>
      </c>
      <c r="AL33" s="169">
        <f>IF('METRIC UNITS'!BO38="out of range","out of range",'METRIC UNITS'!BO38/6.89474)</f>
        <v>4.9420336671941056</v>
      </c>
    </row>
    <row r="34" spans="1:38" x14ac:dyDescent="0.3">
      <c r="B34" s="62"/>
      <c r="C34" s="54"/>
      <c r="D34" s="54"/>
      <c r="E34" s="216"/>
      <c r="F34" s="504"/>
      <c r="G34" s="505"/>
      <c r="H34" s="326"/>
      <c r="I34" s="217" t="s">
        <v>54</v>
      </c>
      <c r="J34" s="217"/>
      <c r="K34" s="434">
        <f>'METRIC UNITS'!K39</f>
        <v>1</v>
      </c>
      <c r="L34" s="54"/>
      <c r="M34" s="141"/>
      <c r="N34" s="54"/>
      <c r="P34" s="166">
        <f>'METRIC UNITS'!AS39*3.28084</f>
        <v>738.18899999999996</v>
      </c>
      <c r="Q34" s="167">
        <v>49.993719061202256</v>
      </c>
      <c r="R34" s="168">
        <f>'METRIC UNITS'!AU39*2.5208</f>
        <v>26.326163546484953</v>
      </c>
      <c r="S34" s="169">
        <f>IF('METRIC UNITS'!AV39="out of range","out of range",'METRIC UNITS'!AV39)</f>
        <v>490.36064884554804</v>
      </c>
      <c r="T34" s="169">
        <f>IF('METRIC UNITS'!AW39="out of range","out of range",'METRIC UNITS'!AW39/6.89474)</f>
        <v>2.036050413779904</v>
      </c>
      <c r="U34" s="169">
        <f>IF('METRIC UNITS'!AX39="out of range","out of range",'METRIC UNITS'!AX39/6.89474)</f>
        <v>93.026200454086336</v>
      </c>
      <c r="V34" s="169">
        <f>IF('METRIC UNITS'!AY39="out of range","out of range",'METRIC UNITS'!AY39)</f>
        <v>104.80444375537867</v>
      </c>
      <c r="W34" s="169">
        <f>IF('METRIC UNITS'!AZ39="out of range","out of range",'METRIC UNITS'!AZ39/6.89474)</f>
        <v>4.2922751706889244</v>
      </c>
      <c r="X34" s="169">
        <f>IF('METRIC UNITS'!BA39="out of range","out of range",'METRIC UNITS'!BA39/6.89474)</f>
        <v>177.13374343094767</v>
      </c>
      <c r="Y34" s="169">
        <f>IF('METRIC UNITS'!BB39="out of range","out of range",'METRIC UNITS'!BB39/6.89474)</f>
        <v>9.4060002168483911E-2</v>
      </c>
      <c r="Z34" s="169">
        <f>IF('METRIC UNITS'!BC39="out of range","out of range",'METRIC UNITS'!BC39/6.89474)</f>
        <v>3.817510024389891</v>
      </c>
      <c r="AB34" s="166">
        <f>'METRIC UNITS'!BE39*3.28084</f>
        <v>738.18899999999996</v>
      </c>
      <c r="AC34" s="168">
        <f>'METRIC UNITS'!BF39*2.5208</f>
        <v>26.326163546484953</v>
      </c>
      <c r="AD34" s="166">
        <f>'METRIC UNITS'!BG39*3.28084</f>
        <v>738.18899999999996</v>
      </c>
      <c r="AE34" s="169">
        <f>IF('METRIC UNITS'!BH39="out of range","out of range",'METRIC UNITS'!BH39)</f>
        <v>490.36064884554804</v>
      </c>
      <c r="AF34" s="169">
        <f>IF('METRIC UNITS'!BI39="out of range","out of range",'METRIC UNITS'!BI39/6.89474)</f>
        <v>2.036050413779904</v>
      </c>
      <c r="AG34" s="169">
        <f>IF('METRIC UNITS'!BJ39="out of range","out of range",'METRIC UNITS'!BJ39/6.89474)</f>
        <v>93.026200454086336</v>
      </c>
      <c r="AH34" s="169">
        <f>IF('METRIC UNITS'!BK39="out of range","out of range",'METRIC UNITS'!BK39)</f>
        <v>104.80444375537867</v>
      </c>
      <c r="AI34" s="169">
        <f>IF('METRIC UNITS'!BL39="out of range","out of range",'METRIC UNITS'!BL39/6.89474)</f>
        <v>4.2922751706889244</v>
      </c>
      <c r="AJ34" s="169">
        <f>IF('METRIC UNITS'!BM39="out of range","out of range",'METRIC UNITS'!BM39/6.89474)</f>
        <v>177.13374343094767</v>
      </c>
      <c r="AK34" s="169">
        <f>IF('METRIC UNITS'!BN39="out of range","out of range",'METRIC UNITS'!BN39/6.89474)</f>
        <v>9.4060002168483911E-2</v>
      </c>
      <c r="AL34" s="169">
        <f>IF('METRIC UNITS'!BO39="out of range","out of range",'METRIC UNITS'!BO39/6.89474)</f>
        <v>3.817510024389891</v>
      </c>
    </row>
    <row r="35" spans="1:38" x14ac:dyDescent="0.3">
      <c r="B35" s="62"/>
      <c r="C35" s="54" t="s">
        <v>287</v>
      </c>
      <c r="D35" s="54"/>
      <c r="E35" s="203">
        <f>'METRIC UNITS'!E40/6.89474</f>
        <v>7.152055241713116</v>
      </c>
      <c r="F35" s="504">
        <f>'METRIC UNITS'!F40/6.89474</f>
        <v>7.152055241713116</v>
      </c>
      <c r="G35" s="505"/>
      <c r="H35" s="329"/>
      <c r="I35" s="66" t="s">
        <v>25</v>
      </c>
      <c r="J35" s="66"/>
      <c r="K35" s="436"/>
      <c r="L35" s="54"/>
      <c r="M35" s="141"/>
      <c r="N35" s="54"/>
      <c r="P35" s="166">
        <f>'METRIC UNITS'!AS40*3.28084</f>
        <v>820.21</v>
      </c>
      <c r="Q35" s="167">
        <v>49.993719061202256</v>
      </c>
      <c r="R35" s="168">
        <f>'METRIC UNITS'!AU40*2.5208</f>
        <v>29.251292829427726</v>
      </c>
      <c r="S35" s="169">
        <f>IF('METRIC UNITS'!AV40="out of range","out of range",'METRIC UNITS'!AV40)</f>
        <v>558.98186467184871</v>
      </c>
      <c r="T35" s="169">
        <f>IF('METRIC UNITS'!AW40="out of range","out of range",'METRIC UNITS'!AW40/6.89474)</f>
        <v>1.7687628378055353</v>
      </c>
      <c r="U35" s="169">
        <f>IF('METRIC UNITS'!AX40="out of range","out of range",'METRIC UNITS'!AX40/6.89474)</f>
        <v>84.097297461993506</v>
      </c>
      <c r="V35" s="169">
        <f>IF('METRIC UNITS'!AY40="out of range","out of range",'METRIC UNITS'!AY40)</f>
        <v>108.44107624124896</v>
      </c>
      <c r="W35" s="169">
        <f>IF('METRIC UNITS'!AZ40="out of range","out of range",'METRIC UNITS'!AZ40/6.89474)</f>
        <v>3.7034412707653233</v>
      </c>
      <c r="X35" s="169">
        <f>IF('METRIC UNITS'!BA40="out of range","out of range",'METRIC UNITS'!BA40/6.89474)</f>
        <v>158.48860646284203</v>
      </c>
      <c r="Y35" s="169">
        <f>IF('METRIC UNITS'!BB40="out of range","out of range",'METRIC UNITS'!BB40/6.89474)</f>
        <v>7.1292861868726382E-2</v>
      </c>
      <c r="Z35" s="169">
        <f>IF('METRIC UNITS'!BC40="out of range","out of range",'METRIC UNITS'!BC40/6.89474)</f>
        <v>3.0283780517043368</v>
      </c>
      <c r="AB35" s="166">
        <f>'METRIC UNITS'!BE40*3.28084</f>
        <v>820.21</v>
      </c>
      <c r="AC35" s="168">
        <f>'METRIC UNITS'!BF40*2.5208</f>
        <v>29.251292829427726</v>
      </c>
      <c r="AD35" s="166">
        <f>'METRIC UNITS'!BG40*3.28084</f>
        <v>820.21</v>
      </c>
      <c r="AE35" s="169">
        <f>IF('METRIC UNITS'!BH40="out of range","out of range",'METRIC UNITS'!BH40)</f>
        <v>558.98186467184871</v>
      </c>
      <c r="AF35" s="169">
        <f>IF('METRIC UNITS'!BI40="out of range","out of range",'METRIC UNITS'!BI40/6.89474)</f>
        <v>1.7687628378055353</v>
      </c>
      <c r="AG35" s="169">
        <f>IF('METRIC UNITS'!BJ40="out of range","out of range",'METRIC UNITS'!BJ40/6.89474)</f>
        <v>84.097297461993506</v>
      </c>
      <c r="AH35" s="169">
        <f>IF('METRIC UNITS'!BK40="out of range","out of range",'METRIC UNITS'!BK40)</f>
        <v>108.44107624124896</v>
      </c>
      <c r="AI35" s="169">
        <f>IF('METRIC UNITS'!BL40="out of range","out of range",'METRIC UNITS'!BL40/6.89474)</f>
        <v>3.7034412707653233</v>
      </c>
      <c r="AJ35" s="169">
        <f>IF('METRIC UNITS'!BM40="out of range","out of range",'METRIC UNITS'!BM40/6.89474)</f>
        <v>158.48860646284203</v>
      </c>
      <c r="AK35" s="169">
        <f>IF('METRIC UNITS'!BN40="out of range","out of range",'METRIC UNITS'!BN40/6.89474)</f>
        <v>7.1292861868726382E-2</v>
      </c>
      <c r="AL35" s="169">
        <f>IF('METRIC UNITS'!BO40="out of range","out of range",'METRIC UNITS'!BO40/6.89474)</f>
        <v>3.0283780517043368</v>
      </c>
    </row>
    <row r="36" spans="1:38" x14ac:dyDescent="0.3">
      <c r="B36" s="62"/>
      <c r="C36" s="54" t="s">
        <v>288</v>
      </c>
      <c r="D36" s="54"/>
      <c r="E36" s="203">
        <f>'METRIC UNITS'!E41</f>
        <v>187.83837507723086</v>
      </c>
      <c r="F36" s="504">
        <f>'METRIC UNITS'!F41</f>
        <v>187.83837507723086</v>
      </c>
      <c r="G36" s="505"/>
      <c r="H36" s="330"/>
      <c r="J36" s="209"/>
      <c r="K36" s="431"/>
      <c r="L36" s="54"/>
      <c r="M36" s="141"/>
      <c r="N36" s="54"/>
      <c r="P36" s="166">
        <f>'METRIC UNITS'!AS41*3.28084</f>
        <v>902.23099999999999</v>
      </c>
      <c r="Q36" s="167">
        <v>49.993719061202256</v>
      </c>
      <c r="R36" s="168">
        <f>'METRIC UNITS'!AU41*2.5208</f>
        <v>32.176422112370496</v>
      </c>
      <c r="S36" s="169">
        <f>IF('METRIC UNITS'!AV41="out of range","out of range",'METRIC UNITS'!AV41)</f>
        <v>627.89104945172164</v>
      </c>
      <c r="T36" s="169">
        <f>IF('METRIC UNITS'!AW41="out of range","out of range",'METRIC UNITS'!AW41/6.89474)</f>
        <v>1.5616758334557168</v>
      </c>
      <c r="U36" s="169">
        <f>IF('METRIC UNITS'!AX41="out of range","out of range",'METRIC UNITS'!AX41/6.89474)</f>
        <v>76.735187511219749</v>
      </c>
      <c r="V36" s="169">
        <f>IF('METRIC UNITS'!AY41="out of range","out of range",'METRIC UNITS'!AY41)</f>
        <v>111.81712177509731</v>
      </c>
      <c r="W36" s="169">
        <f>IF('METRIC UNITS'!AZ41="out of range","out of range",'METRIC UNITS'!AZ41/6.89474)</f>
        <v>3.251531064845945</v>
      </c>
      <c r="X36" s="169">
        <f>IF('METRIC UNITS'!BA41="out of range","out of range",'METRIC UNITS'!BA41/6.89474)</f>
        <v>143.36949372620222</v>
      </c>
      <c r="Y36" s="169">
        <f>IF('METRIC UNITS'!BB41="out of range","out of range",'METRIC UNITS'!BB41/6.89474)</f>
        <v>5.5998863627559792E-2</v>
      </c>
      <c r="Z36" s="169">
        <f>IF('METRIC UNITS'!BC41="out of range","out of range",'METRIC UNITS'!BC41/6.89474)</f>
        <v>2.4558961664053256</v>
      </c>
      <c r="AB36" s="166">
        <f>'METRIC UNITS'!BE41*3.28084</f>
        <v>902.23099999999999</v>
      </c>
      <c r="AC36" s="168">
        <f>'METRIC UNITS'!BF41*2.5208</f>
        <v>32.176422112370496</v>
      </c>
      <c r="AD36" s="166">
        <f>'METRIC UNITS'!BG41*3.28084</f>
        <v>902.23099999999999</v>
      </c>
      <c r="AE36" s="169">
        <f>IF('METRIC UNITS'!BH41="out of range","out of range",'METRIC UNITS'!BH41)</f>
        <v>627.89104945172164</v>
      </c>
      <c r="AF36" s="169">
        <f>IF('METRIC UNITS'!BI41="out of range","out of range",'METRIC UNITS'!BI41/6.89474)</f>
        <v>1.5616758334557168</v>
      </c>
      <c r="AG36" s="169">
        <f>IF('METRIC UNITS'!BJ41="out of range","out of range",'METRIC UNITS'!BJ41/6.89474)</f>
        <v>76.735187511219749</v>
      </c>
      <c r="AH36" s="169">
        <f>IF('METRIC UNITS'!BK41="out of range","out of range",'METRIC UNITS'!BK41)</f>
        <v>111.81712177509731</v>
      </c>
      <c r="AI36" s="169">
        <f>IF('METRIC UNITS'!BL41="out of range","out of range",'METRIC UNITS'!BL41/6.89474)</f>
        <v>3.251531064845945</v>
      </c>
      <c r="AJ36" s="169">
        <f>IF('METRIC UNITS'!BM41="out of range","out of range",'METRIC UNITS'!BM41/6.89474)</f>
        <v>143.36949372620222</v>
      </c>
      <c r="AK36" s="169">
        <f>IF('METRIC UNITS'!BN41="out of range","out of range",'METRIC UNITS'!BN41/6.89474)</f>
        <v>5.5998863627559792E-2</v>
      </c>
      <c r="AL36" s="169">
        <f>IF('METRIC UNITS'!BO41="out of range","out of range",'METRIC UNITS'!BO41/6.89474)</f>
        <v>2.4558961664053256</v>
      </c>
    </row>
    <row r="37" spans="1:38" ht="18.600000000000001" x14ac:dyDescent="0.3">
      <c r="A37" s="54"/>
      <c r="B37" s="62"/>
      <c r="C37" s="54"/>
      <c r="D37" s="54"/>
      <c r="E37" s="211"/>
      <c r="F37" s="504"/>
      <c r="G37" s="505"/>
      <c r="H37" s="329"/>
      <c r="I37" s="66" t="s">
        <v>69</v>
      </c>
      <c r="J37" s="66"/>
      <c r="K37" s="382"/>
      <c r="L37" s="54"/>
      <c r="M37" s="141"/>
      <c r="N37" s="54"/>
      <c r="P37" s="166">
        <f>'METRIC UNITS'!AS42*3.28084</f>
        <v>984.25199999999995</v>
      </c>
      <c r="Q37" s="167">
        <v>49.993719061202256</v>
      </c>
      <c r="R37" s="168">
        <f>'METRIC UNITS'!AU42*2.5208</f>
        <v>35.101551395313265</v>
      </c>
      <c r="S37" s="169">
        <f>IF('METRIC UNITS'!AV42="out of range","out of range",'METRIC UNITS'!AV42)</f>
        <v>697.05510723458644</v>
      </c>
      <c r="T37" s="169">
        <f>IF('METRIC UNITS'!AW42="out of range","out of range",'METRIC UNITS'!AW42/6.89474)</f>
        <v>1.3964507461503426</v>
      </c>
      <c r="U37" s="169">
        <f>IF('METRIC UNITS'!AX42="out of range","out of range",'METRIC UNITS'!AX42/6.89474)</f>
        <v>70.559997429215045</v>
      </c>
      <c r="V37" s="169">
        <f>IF('METRIC UNITS'!AY42="out of range","out of range",'METRIC UNITS'!AY42)</f>
        <v>114.95506704696668</v>
      </c>
      <c r="W37" s="169">
        <f>IF('METRIC UNITS'!AZ42="out of range","out of range",'METRIC UNITS'!AZ42/6.89474)</f>
        <v>2.8935876154506501</v>
      </c>
      <c r="X37" s="169">
        <f>IF('METRIC UNITS'!BA42="out of range","out of range",'METRIC UNITS'!BA42/6.89474)</f>
        <v>130.8616525776942</v>
      </c>
      <c r="Y37" s="169">
        <f>IF('METRIC UNITS'!BB42="out of range","out of range",'METRIC UNITS'!BB42/6.89474)</f>
        <v>4.521338752844091E-2</v>
      </c>
      <c r="Z37" s="169">
        <f>IF('METRIC UNITS'!BC42="out of range","out of range",'METRIC UNITS'!BC42/6.89474)</f>
        <v>2.0293446818370904</v>
      </c>
      <c r="AB37" s="166">
        <f>'METRIC UNITS'!BE42*3.28084</f>
        <v>984.25199999999995</v>
      </c>
      <c r="AC37" s="168">
        <f>'METRIC UNITS'!BF42*2.5208</f>
        <v>35.101551395313265</v>
      </c>
      <c r="AD37" s="166">
        <f>'METRIC UNITS'!BG42*3.28084</f>
        <v>984.25199999999995</v>
      </c>
      <c r="AE37" s="169">
        <f>IF('METRIC UNITS'!BH42="out of range","out of range",'METRIC UNITS'!BH42)</f>
        <v>697.05510723458644</v>
      </c>
      <c r="AF37" s="169">
        <f>IF('METRIC UNITS'!BI42="out of range","out of range",'METRIC UNITS'!BI42/6.89474)</f>
        <v>1.3964507461503426</v>
      </c>
      <c r="AG37" s="169">
        <f>IF('METRIC UNITS'!BJ42="out of range","out of range",'METRIC UNITS'!BJ42/6.89474)</f>
        <v>70.559997429215045</v>
      </c>
      <c r="AH37" s="169">
        <f>IF('METRIC UNITS'!BK42="out of range","out of range",'METRIC UNITS'!BK42)</f>
        <v>114.95506704696668</v>
      </c>
      <c r="AI37" s="169">
        <f>IF('METRIC UNITS'!BL42="out of range","out of range",'METRIC UNITS'!BL42/6.89474)</f>
        <v>2.8935876154506501</v>
      </c>
      <c r="AJ37" s="169">
        <f>IF('METRIC UNITS'!BM42="out of range","out of range",'METRIC UNITS'!BM42/6.89474)</f>
        <v>130.8616525776942</v>
      </c>
      <c r="AK37" s="169">
        <f>IF('METRIC UNITS'!BN42="out of range","out of range",'METRIC UNITS'!BN42/6.89474)</f>
        <v>4.521338752844091E-2</v>
      </c>
      <c r="AL37" s="169">
        <f>IF('METRIC UNITS'!BO42="out of range","out of range",'METRIC UNITS'!BO42/6.89474)</f>
        <v>2.0293446818370904</v>
      </c>
    </row>
    <row r="38" spans="1:38" x14ac:dyDescent="0.3">
      <c r="B38" s="62"/>
      <c r="C38" s="54" t="s">
        <v>239</v>
      </c>
      <c r="D38" s="54"/>
      <c r="E38" s="203">
        <f>'METRIC UNITS'!E43/6.89474</f>
        <v>17.061565023954998</v>
      </c>
      <c r="F38" s="504">
        <f>'METRIC UNITS'!F43/6.89474</f>
        <v>17.061565023954998</v>
      </c>
      <c r="G38" s="505"/>
      <c r="H38" s="329"/>
      <c r="I38" s="217" t="s">
        <v>52</v>
      </c>
      <c r="J38" s="217"/>
      <c r="K38" s="434">
        <f>'METRIC UNITS'!K43</f>
        <v>1</v>
      </c>
      <c r="L38" s="54"/>
      <c r="M38" s="141"/>
      <c r="N38" s="54"/>
      <c r="P38" s="166">
        <f>'METRIC UNITS'!AS43*3.28084</f>
        <v>1066.2729999999999</v>
      </c>
      <c r="Q38" s="167">
        <v>49.993719061202256</v>
      </c>
      <c r="R38" s="168">
        <f>'METRIC UNITS'!AU43*2.5208</f>
        <v>38.026680678256042</v>
      </c>
      <c r="S38" s="169">
        <f>IF('METRIC UNITS'!AV43="out of range","out of range",'METRIC UNITS'!AV43)</f>
        <v>766.4549929390023</v>
      </c>
      <c r="T38" s="169">
        <f>IF('METRIC UNITS'!AW43="out of range","out of range",'METRIC UNITS'!AW43/6.89474)</f>
        <v>1.2614444699294489</v>
      </c>
      <c r="U38" s="169">
        <f>IF('METRIC UNITS'!AX43="out of range","out of range",'METRIC UNITS'!AX43/6.89474)</f>
        <v>65.30520886451221</v>
      </c>
      <c r="V38" s="169">
        <f>IF('METRIC UNITS'!AY43="out of range","out of range",'METRIC UNITS'!AY43)</f>
        <v>117.87357807140268</v>
      </c>
      <c r="W38" s="169">
        <f>IF('METRIC UNITS'!AZ43="out of range","out of range",'METRIC UNITS'!AZ43/6.89474)</f>
        <v>2.6028653116141953</v>
      </c>
      <c r="X38" s="169">
        <f>IF('METRIC UNITS'!BA43="out of range","out of range",'METRIC UNITS'!BA43/6.89474)</f>
        <v>120.34142397268479</v>
      </c>
      <c r="Y38" s="169">
        <f>IF('METRIC UNITS'!BB43="out of range","out of range",'METRIC UNITS'!BB43/6.89474)</f>
        <v>3.7298554386358346E-2</v>
      </c>
      <c r="Z38" s="169">
        <f>IF('METRIC UNITS'!BC43="out of range","out of range",'METRIC UNITS'!BC43/6.89474)</f>
        <v>1.7042628075496298</v>
      </c>
      <c r="AB38" s="166">
        <f>'METRIC UNITS'!BE43*3.28084</f>
        <v>1066.2729999999999</v>
      </c>
      <c r="AC38" s="168">
        <f>'METRIC UNITS'!BF43*2.5208</f>
        <v>38.026680678256042</v>
      </c>
      <c r="AD38" s="166">
        <f>'METRIC UNITS'!BG43*3.28084</f>
        <v>1066.2729999999999</v>
      </c>
      <c r="AE38" s="169">
        <f>IF('METRIC UNITS'!BH43="out of range","out of range",'METRIC UNITS'!BH43)</f>
        <v>766.4549929390023</v>
      </c>
      <c r="AF38" s="169">
        <f>IF('METRIC UNITS'!BI43="out of range","out of range",'METRIC UNITS'!BI43/6.89474)</f>
        <v>1.2614444699294489</v>
      </c>
      <c r="AG38" s="169">
        <f>IF('METRIC UNITS'!BJ43="out of range","out of range",'METRIC UNITS'!BJ43/6.89474)</f>
        <v>65.30520886451221</v>
      </c>
      <c r="AH38" s="169">
        <f>IF('METRIC UNITS'!BK43="out of range","out of range",'METRIC UNITS'!BK43)</f>
        <v>117.87357807140268</v>
      </c>
      <c r="AI38" s="169">
        <f>IF('METRIC UNITS'!BL43="out of range","out of range",'METRIC UNITS'!BL43/6.89474)</f>
        <v>2.6028653116141953</v>
      </c>
      <c r="AJ38" s="169">
        <f>IF('METRIC UNITS'!BM43="out of range","out of range",'METRIC UNITS'!BM43/6.89474)</f>
        <v>120.34142397268479</v>
      </c>
      <c r="AK38" s="169">
        <f>IF('METRIC UNITS'!BN43="out of range","out of range",'METRIC UNITS'!BN43/6.89474)</f>
        <v>3.7298554386358346E-2</v>
      </c>
      <c r="AL38" s="169">
        <f>IF('METRIC UNITS'!BO43="out of range","out of range",'METRIC UNITS'!BO43/6.89474)</f>
        <v>1.7042628075496298</v>
      </c>
    </row>
    <row r="39" spans="1:38" x14ac:dyDescent="0.3">
      <c r="B39" s="62"/>
      <c r="C39" s="54"/>
      <c r="D39" s="54"/>
      <c r="E39" s="203"/>
      <c r="F39" s="504"/>
      <c r="G39" s="505"/>
      <c r="H39" s="329"/>
      <c r="I39" s="66" t="s">
        <v>25</v>
      </c>
      <c r="J39" s="66"/>
      <c r="K39" s="436"/>
      <c r="L39" s="54"/>
      <c r="M39" s="141"/>
      <c r="N39" s="54"/>
      <c r="P39" s="166">
        <f>'METRIC UNITS'!AS44*3.28084</f>
        <v>1148.2940000000001</v>
      </c>
      <c r="Q39" s="167">
        <v>49.993719061202256</v>
      </c>
      <c r="R39" s="168">
        <f>'METRIC UNITS'!AU44*2.5208</f>
        <v>40.951809961198812</v>
      </c>
      <c r="S39" s="169">
        <f>IF('METRIC UNITS'!AV44="out of range","out of range",'METRIC UNITS'!AV44)</f>
        <v>836.07636567351562</v>
      </c>
      <c r="T39" s="169">
        <f>IF('METRIC UNITS'!AW44="out of range","out of range",'METRIC UNITS'!AW44/6.89474)</f>
        <v>1.1489380920823313</v>
      </c>
      <c r="U39" s="169">
        <f>IF('METRIC UNITS'!AX44="out of range","out of range",'METRIC UNITS'!AX44/6.89474)</f>
        <v>60.778415165433223</v>
      </c>
      <c r="V39" s="169">
        <f>IF('METRIC UNITS'!AY44="out of range","out of range",'METRIC UNITS'!AY44)</f>
        <v>120.58986638733519</v>
      </c>
      <c r="W39" s="169">
        <f>IF('METRIC UNITS'!AZ44="out of range","out of range",'METRIC UNITS'!AZ44/6.89474)</f>
        <v>2.3618780384970544</v>
      </c>
      <c r="X39" s="169">
        <f>IF('METRIC UNITS'!BA44="out of range","out of range",'METRIC UNITS'!BA44/6.89474)</f>
        <v>111.36908197034089</v>
      </c>
      <c r="Y39" s="169">
        <f>IF('METRIC UNITS'!BB44="out of range","out of range",'METRIC UNITS'!BB44/6.89474)</f>
        <v>3.1295315707883756E-2</v>
      </c>
      <c r="Z39" s="169">
        <f>IF('METRIC UNITS'!BC44="out of range","out of range",'METRIC UNITS'!BC44/6.89474)</f>
        <v>1.4515464028677993</v>
      </c>
      <c r="AB39" s="166">
        <f>'METRIC UNITS'!BE44*3.28084</f>
        <v>1148.2940000000001</v>
      </c>
      <c r="AC39" s="168">
        <f>'METRIC UNITS'!BF44*2.5208</f>
        <v>40.951809961198812</v>
      </c>
      <c r="AD39" s="166">
        <f>'METRIC UNITS'!BG44*3.28084</f>
        <v>1148.2940000000001</v>
      </c>
      <c r="AE39" s="169">
        <f>IF('METRIC UNITS'!BH44="out of range","out of range",'METRIC UNITS'!BH44)</f>
        <v>836.07636567351562</v>
      </c>
      <c r="AF39" s="169">
        <f>IF('METRIC UNITS'!BI44="out of range","out of range",'METRIC UNITS'!BI44/6.89474)</f>
        <v>1.1489380920823313</v>
      </c>
      <c r="AG39" s="169">
        <f>IF('METRIC UNITS'!BJ44="out of range","out of range",'METRIC UNITS'!BJ44/6.89474)</f>
        <v>60.778415165433223</v>
      </c>
      <c r="AH39" s="169">
        <f>IF('METRIC UNITS'!BK44="out of range","out of range",'METRIC UNITS'!BK44)</f>
        <v>120.58986638733519</v>
      </c>
      <c r="AI39" s="169">
        <f>IF('METRIC UNITS'!BL44="out of range","out of range",'METRIC UNITS'!BL44/6.89474)</f>
        <v>2.3618780384970544</v>
      </c>
      <c r="AJ39" s="169">
        <f>IF('METRIC UNITS'!BM44="out of range","out of range",'METRIC UNITS'!BM44/6.89474)</f>
        <v>111.36908197034089</v>
      </c>
      <c r="AK39" s="169">
        <f>IF('METRIC UNITS'!BN44="out of range","out of range",'METRIC UNITS'!BN44/6.89474)</f>
        <v>3.1295315707883756E-2</v>
      </c>
      <c r="AL39" s="169">
        <f>IF('METRIC UNITS'!BO44="out of range","out of range",'METRIC UNITS'!BO44/6.89474)</f>
        <v>1.4515464028677993</v>
      </c>
    </row>
    <row r="40" spans="1:38" x14ac:dyDescent="0.3">
      <c r="B40" s="62"/>
      <c r="C40" s="54" t="s">
        <v>20</v>
      </c>
      <c r="D40" s="54"/>
      <c r="E40" s="203">
        <f>'METRIC UNITS'!E45</f>
        <v>79.188624587534818</v>
      </c>
      <c r="F40" s="504">
        <f>'METRIC UNITS'!F45</f>
        <v>79.188624587534818</v>
      </c>
      <c r="G40" s="505"/>
      <c r="H40" s="329"/>
      <c r="J40" s="209"/>
      <c r="K40" s="431"/>
      <c r="L40" s="54"/>
      <c r="M40" s="141"/>
      <c r="N40" s="54"/>
      <c r="P40" s="166">
        <f>'METRIC UNITS'!AS45*3.28084</f>
        <v>1312.336</v>
      </c>
      <c r="Q40" s="167">
        <v>49.993719061202256</v>
      </c>
      <c r="R40" s="168">
        <f>'METRIC UNITS'!AU45*2.5208</f>
        <v>46.802068527084359</v>
      </c>
      <c r="S40" s="169">
        <f>IF('METRIC UNITS'!AV45="out of range","out of range",'METRIC UNITS'!AV45)</f>
        <v>975.923445757433</v>
      </c>
      <c r="T40" s="169">
        <f>IF('METRIC UNITS'!AW45="out of range","out of range",'METRIC UNITS'!AW45/6.89474)</f>
        <v>0.97175049648872547</v>
      </c>
      <c r="U40" s="169">
        <f>IF('METRIC UNITS'!AX45="out of range","out of range",'METRIC UNITS'!AX45/6.89474)</f>
        <v>53.374324581535056</v>
      </c>
      <c r="V40" s="169">
        <f>IF('METRIC UNITS'!AY45="out of range","out of range",'METRIC UNITS'!AY45)</f>
        <v>125.48171863805</v>
      </c>
      <c r="W40" s="169">
        <f>IF('METRIC UNITS'!AZ45="out of range","out of range",'METRIC UNITS'!AZ45/6.89474)</f>
        <v>1.9850215553401049</v>
      </c>
      <c r="X40" s="169">
        <f>IF('METRIC UNITS'!BA45="out of range","out of range",'METRIC UNITS'!BA45/6.89474)</f>
        <v>96.874463686607726</v>
      </c>
      <c r="Y40" s="169">
        <f>IF('METRIC UNITS'!BB45="out of range","out of range",'METRIC UNITS'!BB45/6.89474)</f>
        <v>2.2878109687660166E-2</v>
      </c>
      <c r="Z40" s="169">
        <f>IF('METRIC UNITS'!BC45="out of range","out of range",'METRIC UNITS'!BC45/6.89474)</f>
        <v>1.0906101454385293</v>
      </c>
      <c r="AB40" s="166">
        <f>'METRIC UNITS'!BE45*3.28084</f>
        <v>1312.336</v>
      </c>
      <c r="AC40" s="168">
        <f>'METRIC UNITS'!BF45*2.5208</f>
        <v>46.802068527084359</v>
      </c>
      <c r="AD40" s="166">
        <f>'METRIC UNITS'!BG45*3.28084</f>
        <v>1312.336</v>
      </c>
      <c r="AE40" s="169">
        <f>IF('METRIC UNITS'!BH45="out of range","out of range",'METRIC UNITS'!BH45)</f>
        <v>975.923445757433</v>
      </c>
      <c r="AF40" s="169">
        <f>IF('METRIC UNITS'!BI45="out of range","out of range",'METRIC UNITS'!BI45/6.89474)</f>
        <v>0.97175049648872547</v>
      </c>
      <c r="AG40" s="169">
        <f>IF('METRIC UNITS'!BJ45="out of range","out of range",'METRIC UNITS'!BJ45/6.89474)</f>
        <v>53.374324581535056</v>
      </c>
      <c r="AH40" s="169">
        <f>IF('METRIC UNITS'!BK45="out of range","out of range",'METRIC UNITS'!BK45)</f>
        <v>125.48171863805</v>
      </c>
      <c r="AI40" s="169">
        <f>IF('METRIC UNITS'!BL45="out of range","out of range",'METRIC UNITS'!BL45/6.89474)</f>
        <v>1.9850215553401049</v>
      </c>
      <c r="AJ40" s="169">
        <f>IF('METRIC UNITS'!BM45="out of range","out of range",'METRIC UNITS'!BM45/6.89474)</f>
        <v>96.874463686607726</v>
      </c>
      <c r="AK40" s="169">
        <f>IF('METRIC UNITS'!BN45="out of range","out of range",'METRIC UNITS'!BN45/6.89474)</f>
        <v>2.2878109687660166E-2</v>
      </c>
      <c r="AL40" s="169">
        <f>IF('METRIC UNITS'!BO45="out of range","out of range",'METRIC UNITS'!BO45/6.89474)</f>
        <v>1.0906101454385293</v>
      </c>
    </row>
    <row r="41" spans="1:38" ht="18.600000000000001" x14ac:dyDescent="0.3">
      <c r="B41" s="62"/>
      <c r="C41" s="54" t="s">
        <v>240</v>
      </c>
      <c r="D41" s="54"/>
      <c r="E41" s="211"/>
      <c r="F41" s="504"/>
      <c r="G41" s="505"/>
      <c r="H41" s="329"/>
      <c r="I41" s="425" t="s">
        <v>66</v>
      </c>
      <c r="J41" s="328"/>
      <c r="K41" s="431"/>
      <c r="L41" s="54"/>
      <c r="M41" s="141"/>
      <c r="N41" s="54"/>
      <c r="P41" s="166">
        <f>'METRIC UNITS'!AS46*3.28084</f>
        <v>1476.3779999999999</v>
      </c>
      <c r="Q41" s="167">
        <v>49.993719061202256</v>
      </c>
      <c r="R41" s="168">
        <f>'METRIC UNITS'!AU46*2.5208</f>
        <v>52.652327092969905</v>
      </c>
      <c r="S41" s="169">
        <f>IF('METRIC UNITS'!AV46="out of range","out of range",'METRIC UNITS'!AV46)</f>
        <v>1116.4468349446968</v>
      </c>
      <c r="T41" s="169">
        <f>IF('METRIC UNITS'!AW46="out of range","out of range",'METRIC UNITS'!AW46/6.89474)</f>
        <v>0.83806834447764111</v>
      </c>
      <c r="U41" s="169">
        <f>IF('METRIC UNITS'!AX46="out of range","out of range",'METRIC UNITS'!AX46/6.89474)</f>
        <v>47.570064925541246</v>
      </c>
      <c r="V41" s="169">
        <f>IF('METRIC UNITS'!AY46="out of range","out of range",'METRIC UNITS'!AY46)</f>
        <v>129.75819406347063</v>
      </c>
      <c r="W41" s="169">
        <f>IF('METRIC UNITS'!AZ46="out of range","out of range",'METRIC UNITS'!AZ46/6.89474)</f>
        <v>1.7032616400876921</v>
      </c>
      <c r="X41" s="169">
        <f>IF('METRIC UNITS'!BA46="out of range","out of range",'METRIC UNITS'!BA46/6.89474)</f>
        <v>85.670601532249052</v>
      </c>
      <c r="Y41" s="169">
        <f>IF('METRIC UNITS'!BB46="out of range","out of range",'METRIC UNITS'!BB46/6.89474)</f>
        <v>1.7318999850095294E-2</v>
      </c>
      <c r="Z41" s="169">
        <f>IF('METRIC UNITS'!BC46="out of range","out of range",'METRIC UNITS'!BC46/6.89474)</f>
        <v>0.8501418048313768</v>
      </c>
      <c r="AB41" s="166">
        <f>'METRIC UNITS'!BE46*3.28084</f>
        <v>1476.3779999999999</v>
      </c>
      <c r="AC41" s="168">
        <f>'METRIC UNITS'!BF46*2.5208</f>
        <v>52.652327092969905</v>
      </c>
      <c r="AD41" s="166">
        <f>'METRIC UNITS'!BG46*3.28084</f>
        <v>1476.3779999999999</v>
      </c>
      <c r="AE41" s="169">
        <f>IF('METRIC UNITS'!BH46="out of range","out of range",'METRIC UNITS'!BH46)</f>
        <v>1116.4468349446968</v>
      </c>
      <c r="AF41" s="169">
        <f>IF('METRIC UNITS'!BI46="out of range","out of range",'METRIC UNITS'!BI46/6.89474)</f>
        <v>0.83806834447764111</v>
      </c>
      <c r="AG41" s="169">
        <f>IF('METRIC UNITS'!BJ46="out of range","out of range",'METRIC UNITS'!BJ46/6.89474)</f>
        <v>47.570064925541246</v>
      </c>
      <c r="AH41" s="169">
        <f>IF('METRIC UNITS'!BK46="out of range","out of range",'METRIC UNITS'!BK46)</f>
        <v>129.75819406347063</v>
      </c>
      <c r="AI41" s="169">
        <f>IF('METRIC UNITS'!BL46="out of range","out of range",'METRIC UNITS'!BL46/6.89474)</f>
        <v>1.7032616400876921</v>
      </c>
      <c r="AJ41" s="169">
        <f>IF('METRIC UNITS'!BM46="out of range","out of range",'METRIC UNITS'!BM46/6.89474)</f>
        <v>85.670601532249052</v>
      </c>
      <c r="AK41" s="169">
        <f>IF('METRIC UNITS'!BN46="out of range","out of range",'METRIC UNITS'!BN46/6.89474)</f>
        <v>1.7318999850095294E-2</v>
      </c>
      <c r="AL41" s="169">
        <f>IF('METRIC UNITS'!BO46="out of range","out of range",'METRIC UNITS'!BO46/6.89474)</f>
        <v>0.8501418048313768</v>
      </c>
    </row>
    <row r="42" spans="1:38" x14ac:dyDescent="0.3">
      <c r="B42" s="62"/>
      <c r="C42" s="54"/>
      <c r="D42" s="54"/>
      <c r="E42" s="211"/>
      <c r="F42" s="504"/>
      <c r="G42" s="505"/>
      <c r="H42" s="329"/>
      <c r="I42" s="217" t="s">
        <v>24</v>
      </c>
      <c r="K42" s="434">
        <f>'METRIC UNITS'!K47</f>
        <v>1</v>
      </c>
      <c r="L42" s="54"/>
      <c r="M42" s="141"/>
      <c r="N42" s="54"/>
      <c r="P42" s="166">
        <f>'METRIC UNITS'!AS47*3.28084</f>
        <v>1640.42</v>
      </c>
      <c r="Q42" s="167">
        <v>49.993719061202256</v>
      </c>
      <c r="R42" s="168">
        <f>'METRIC UNITS'!AU47*2.5208</f>
        <v>58.502585658855452</v>
      </c>
      <c r="S42" s="169">
        <f>IF('METRIC UNITS'!AV47="out of range","out of range",'METRIC UNITS'!AV47)</f>
        <v>1257.4419009699407</v>
      </c>
      <c r="T42" s="169">
        <f>IF('METRIC UNITS'!AW47="out of range","out of range",'METRIC UNITS'!AW47/6.89474)</f>
        <v>0.73322911112442768</v>
      </c>
      <c r="U42" s="169">
        <f>IF('METRIC UNITS'!AX47="out of range","out of range",'METRIC UNITS'!AX47/6.89474)</f>
        <v>42.893920101538313</v>
      </c>
      <c r="V42" s="169">
        <f>IF('METRIC UNITS'!AY47="out of range","out of range",'METRIC UNITS'!AY47)</f>
        <v>133.53835092807432</v>
      </c>
      <c r="W42" s="169">
        <f>IF('METRIC UNITS'!AZ47="out of range","out of range",'METRIC UNITS'!AZ47/6.89474)</f>
        <v>1.4841303891680571</v>
      </c>
      <c r="X42" s="169">
        <f>IF('METRIC UNITS'!BA47="out of range","out of range",'METRIC UNITS'!BA47/6.89474)</f>
        <v>76.748834209566624</v>
      </c>
      <c r="Y42" s="169">
        <f>IF('METRIC UNITS'!BB47="out of range","out of range",'METRIC UNITS'!BB47/6.89474)</f>
        <v>1.340888752371608E-2</v>
      </c>
      <c r="Z42" s="169">
        <f>IF('METRIC UNITS'!BC47="out of range","out of range",'METRIC UNITS'!BC47/6.89474)</f>
        <v>0.68061404571779438</v>
      </c>
      <c r="AB42" s="166">
        <f>'METRIC UNITS'!BE47*3.28084</f>
        <v>1640.42</v>
      </c>
      <c r="AC42" s="168">
        <f>'METRIC UNITS'!BF47*2.5208</f>
        <v>58.502585658855452</v>
      </c>
      <c r="AD42" s="166">
        <f>'METRIC UNITS'!BG47*3.28084</f>
        <v>1640.42</v>
      </c>
      <c r="AE42" s="169">
        <f>IF('METRIC UNITS'!BH47="out of range","out of range",'METRIC UNITS'!BH47)</f>
        <v>1257.4419009699407</v>
      </c>
      <c r="AF42" s="169">
        <f>IF('METRIC UNITS'!BI47="out of range","out of range",'METRIC UNITS'!BI47/6.89474)</f>
        <v>0.73322911112442768</v>
      </c>
      <c r="AG42" s="169">
        <f>IF('METRIC UNITS'!BJ47="out of range","out of range",'METRIC UNITS'!BJ47/6.89474)</f>
        <v>42.893920101538313</v>
      </c>
      <c r="AH42" s="169">
        <f>IF('METRIC UNITS'!BK47="out of range","out of range",'METRIC UNITS'!BK47)</f>
        <v>133.53835092807432</v>
      </c>
      <c r="AI42" s="169">
        <f>IF('METRIC UNITS'!BL47="out of range","out of range",'METRIC UNITS'!BL47/6.89474)</f>
        <v>1.4841303891680571</v>
      </c>
      <c r="AJ42" s="169">
        <f>IF('METRIC UNITS'!BM47="out of range","out of range",'METRIC UNITS'!BM47/6.89474)</f>
        <v>76.748834209566624</v>
      </c>
      <c r="AK42" s="169">
        <f>IF('METRIC UNITS'!BN47="out of range","out of range",'METRIC UNITS'!BN47/6.89474)</f>
        <v>1.340888752371608E-2</v>
      </c>
      <c r="AL42" s="169">
        <f>IF('METRIC UNITS'!BO47="out of range","out of range",'METRIC UNITS'!BO47/6.89474)</f>
        <v>0.68061404571779438</v>
      </c>
    </row>
    <row r="43" spans="1:38" x14ac:dyDescent="0.3">
      <c r="B43" s="62"/>
      <c r="C43" s="54" t="s">
        <v>21</v>
      </c>
      <c r="D43" s="54"/>
      <c r="E43" s="203">
        <f>'METRIC UNITS'!E48/6.89474</f>
        <v>198.21858825663531</v>
      </c>
      <c r="F43" s="504">
        <f>'METRIC UNITS'!F48/6.89474</f>
        <v>198.21858825663531</v>
      </c>
      <c r="G43" s="505"/>
      <c r="H43" s="329"/>
      <c r="I43" s="66" t="s">
        <v>26</v>
      </c>
      <c r="K43" s="437"/>
      <c r="L43" s="54"/>
      <c r="M43" s="141"/>
      <c r="N43" s="54"/>
      <c r="P43" s="166">
        <f>'METRIC UNITS'!AS48*3.28084</f>
        <v>1968.5039999999999</v>
      </c>
      <c r="Q43" s="167">
        <v>49.993719061202256</v>
      </c>
      <c r="R43" s="168">
        <f>'METRIC UNITS'!AU48*2.5208</f>
        <v>70.203102790626531</v>
      </c>
      <c r="S43" s="169">
        <f>IF('METRIC UNITS'!AV48="out of range","out of range",'METRIC UNITS'!AV48)</f>
        <v>1539.7881306962886</v>
      </c>
      <c r="T43" s="169">
        <f>IF('METRIC UNITS'!AW48="out of range","out of range",'METRIC UNITS'!AW48/6.89474)</f>
        <v>0.57312097092730341</v>
      </c>
      <c r="U43" s="169">
        <f>IF('METRIC UNITS'!AX48="out of range","out of range",'METRIC UNITS'!AX48/6.89474)</f>
        <v>35.815015981567775</v>
      </c>
      <c r="V43" s="169">
        <f>IF('METRIC UNITS'!AY48="out of range","out of range",'METRIC UNITS'!AY48)</f>
        <v>140.02953303890885</v>
      </c>
      <c r="W43" s="169">
        <f>IF('METRIC UNITS'!AZ48="out of range","out of range",'METRIC UNITS'!AZ48/6.89474)</f>
        <v>1.1641797922540826</v>
      </c>
      <c r="X43" s="169">
        <f>IF('METRIC UNITS'!BA48="out of range","out of range",'METRIC UNITS'!BA48/6.89474)</f>
        <v>63.429929482076069</v>
      </c>
      <c r="Y43" s="169">
        <f>IF('METRIC UNITS'!BB48="out of range","out of range",'METRIC UNITS'!BB48/6.89474)</f>
        <v>8.3467227745373501E-3</v>
      </c>
      <c r="Z43" s="169">
        <f>IF('METRIC UNITS'!BC48="out of range","out of range",'METRIC UNITS'!BC48/6.89474)</f>
        <v>0.45757250602921445</v>
      </c>
      <c r="AB43" s="166">
        <f>'METRIC UNITS'!BE48*3.28084</f>
        <v>1968.5039999999999</v>
      </c>
      <c r="AC43" s="168">
        <f>'METRIC UNITS'!BF48*2.5208</f>
        <v>70.203102790626531</v>
      </c>
      <c r="AD43" s="166">
        <f>'METRIC UNITS'!BG48*3.28084</f>
        <v>1968.5039999999999</v>
      </c>
      <c r="AE43" s="169">
        <f>IF('METRIC UNITS'!BH48="out of range","out of range",'METRIC UNITS'!BH48)</f>
        <v>1539.7881306962886</v>
      </c>
      <c r="AF43" s="169">
        <f>IF('METRIC UNITS'!BI48="out of range","out of range",'METRIC UNITS'!BI48/6.89474)</f>
        <v>0.57312097092730341</v>
      </c>
      <c r="AG43" s="169">
        <f>IF('METRIC UNITS'!BJ48="out of range","out of range",'METRIC UNITS'!BJ48/6.89474)</f>
        <v>35.815015981567775</v>
      </c>
      <c r="AH43" s="169">
        <f>IF('METRIC UNITS'!BK48="out of range","out of range",'METRIC UNITS'!BK48)</f>
        <v>140.02953303890885</v>
      </c>
      <c r="AI43" s="169">
        <f>IF('METRIC UNITS'!BL48="out of range","out of range",'METRIC UNITS'!BL48/6.89474)</f>
        <v>1.1641797922540826</v>
      </c>
      <c r="AJ43" s="169">
        <f>IF('METRIC UNITS'!BM48="out of range","out of range",'METRIC UNITS'!BM48/6.89474)</f>
        <v>63.429929482076069</v>
      </c>
      <c r="AK43" s="169">
        <f>IF('METRIC UNITS'!BN48="out of range","out of range",'METRIC UNITS'!BN48/6.89474)</f>
        <v>8.3467227745373501E-3</v>
      </c>
      <c r="AL43" s="169">
        <f>IF('METRIC UNITS'!BO48="out of range","out of range",'METRIC UNITS'!BO48/6.89474)</f>
        <v>0.45757250602921445</v>
      </c>
    </row>
    <row r="44" spans="1:38" x14ac:dyDescent="0.3">
      <c r="B44" s="62"/>
      <c r="C44" s="54" t="s">
        <v>241</v>
      </c>
      <c r="D44" s="54"/>
      <c r="E44" s="211"/>
      <c r="F44" s="504"/>
      <c r="G44" s="505"/>
      <c r="H44" s="329"/>
      <c r="K44" s="431"/>
      <c r="L44" s="54"/>
      <c r="M44" s="141"/>
      <c r="N44" s="54"/>
      <c r="P44" s="166">
        <f>'METRIC UNITS'!AS49*3.28084</f>
        <v>2296.5880000000002</v>
      </c>
      <c r="Q44" s="167">
        <v>49.993719061202256</v>
      </c>
      <c r="R44" s="168">
        <f>'METRIC UNITS'!AU49*2.5208</f>
        <v>81.903619922397624</v>
      </c>
      <c r="S44" s="169">
        <f>IF('METRIC UNITS'!AV49="out of range","out of range",'METRIC UNITS'!AV49)</f>
        <v>1820.5358329984417</v>
      </c>
      <c r="T44" s="169">
        <f>IF('METRIC UNITS'!AW49="out of range","out of range",'METRIC UNITS'!AW49/6.89474)</f>
        <v>0.46140144002908956</v>
      </c>
      <c r="U44" s="169">
        <f>IF('METRIC UNITS'!AX49="out of range","out of range",'METRIC UNITS'!AX49/6.89474)</f>
        <v>30.70050202919251</v>
      </c>
      <c r="V44" s="169">
        <f>IF('METRIC UNITS'!AY49="out of range","out of range",'METRIC UNITS'!AY49)</f>
        <v>145.67333834621382</v>
      </c>
      <c r="W44" s="169">
        <f>IF('METRIC UNITS'!AZ49="out of range","out of range",'METRIC UNITS'!AZ49/6.89474)</f>
        <v>0.94047627145415813</v>
      </c>
      <c r="X44" s="169">
        <f>IF('METRIC UNITS'!BA49="out of range","out of range",'METRIC UNITS'!BA49/6.89474)</f>
        <v>53.959196877063533</v>
      </c>
      <c r="Y44" s="169">
        <f>IF('METRIC UNITS'!BB49="out of range","out of range",'METRIC UNITS'!BB49/6.89474)</f>
        <v>5.3116961157954187E-3</v>
      </c>
      <c r="Z44" s="169">
        <f>IF('METRIC UNITS'!BC49="out of range","out of range",'METRIC UNITS'!BC49/6.89474)</f>
        <v>0.31457169650764988</v>
      </c>
      <c r="AB44" s="166">
        <f>'METRIC UNITS'!BE49*3.28084</f>
        <v>2296.5880000000002</v>
      </c>
      <c r="AC44" s="168">
        <f>'METRIC UNITS'!BF49*2.5208</f>
        <v>81.903619922397624</v>
      </c>
      <c r="AD44" s="166">
        <f>'METRIC UNITS'!BG49*3.28084</f>
        <v>2296.5880000000002</v>
      </c>
      <c r="AE44" s="169">
        <f>IF('METRIC UNITS'!BH49="out of range","out of range",'METRIC UNITS'!BH49)</f>
        <v>1820.5358329984417</v>
      </c>
      <c r="AF44" s="169">
        <f>IF('METRIC UNITS'!BI49="out of range","out of range",'METRIC UNITS'!BI49/6.89474)</f>
        <v>0.46140144002908956</v>
      </c>
      <c r="AG44" s="169">
        <f>IF('METRIC UNITS'!BJ49="out of range","out of range",'METRIC UNITS'!BJ49/6.89474)</f>
        <v>30.70050202919251</v>
      </c>
      <c r="AH44" s="169">
        <f>IF('METRIC UNITS'!BK49="out of range","out of range",'METRIC UNITS'!BK49)</f>
        <v>145.67333834621382</v>
      </c>
      <c r="AI44" s="169">
        <f>IF('METRIC UNITS'!BL49="out of range","out of range",'METRIC UNITS'!BL49/6.89474)</f>
        <v>0.94047627145415813</v>
      </c>
      <c r="AJ44" s="169">
        <f>IF('METRIC UNITS'!BM49="out of range","out of range",'METRIC UNITS'!BM49/6.89474)</f>
        <v>53.959196877063533</v>
      </c>
      <c r="AK44" s="169">
        <f>IF('METRIC UNITS'!BN49="out of range","out of range",'METRIC UNITS'!BN49/6.89474)</f>
        <v>5.3116961157954187E-3</v>
      </c>
      <c r="AL44" s="169">
        <f>IF('METRIC UNITS'!BO49="out of range","out of range",'METRIC UNITS'!BO49/6.89474)</f>
        <v>0.31457169650764988</v>
      </c>
    </row>
    <row r="45" spans="1:38" ht="19.5" customHeight="1" x14ac:dyDescent="0.3">
      <c r="B45" s="62"/>
      <c r="C45" s="54"/>
      <c r="D45" s="54"/>
      <c r="E45" s="211"/>
      <c r="F45" s="504"/>
      <c r="G45" s="505"/>
      <c r="H45" s="329"/>
      <c r="I45" s="66" t="s">
        <v>68</v>
      </c>
      <c r="K45" s="382"/>
      <c r="L45" s="54"/>
      <c r="M45" s="141"/>
      <c r="N45" s="54"/>
      <c r="P45" s="166">
        <f>'METRIC UNITS'!AS50*3.28084</f>
        <v>2624.672</v>
      </c>
      <c r="Q45" s="167">
        <v>49.993719061202256</v>
      </c>
      <c r="R45" s="168">
        <f>'METRIC UNITS'!AU50*2.5208</f>
        <v>93.604137054168717</v>
      </c>
      <c r="S45" s="169">
        <f>IF('METRIC UNITS'!AV50="out of range","out of range",'METRIC UNITS'!AV50)</f>
        <v>2097.0053154962038</v>
      </c>
      <c r="T45" s="169">
        <f>IF('METRIC UNITS'!AW50="out of range","out of range",'METRIC UNITS'!AW50/6.89474)</f>
        <v>0.38239083348138647</v>
      </c>
      <c r="U45" s="169">
        <f>IF('METRIC UNITS'!AX50="out of range","out of range",'METRIC UNITS'!AX50/6.89474)</f>
        <v>26.665271766115477</v>
      </c>
      <c r="V45" s="169">
        <f>IF('METRIC UNITS'!AY50="out of range","out of range",'METRIC UNITS'!AY50)</f>
        <v>151.00990751155172</v>
      </c>
      <c r="W45" s="169">
        <f>IF('METRIC UNITS'!AZ50="out of range","out of range",'METRIC UNITS'!AZ50/6.89474)</f>
        <v>0.77421474675909163</v>
      </c>
      <c r="X45" s="169">
        <f>IF('METRIC UNITS'!BA50="out of range","out of range",'METRIC UNITS'!BA50/6.89474)</f>
        <v>46.877428266350471</v>
      </c>
      <c r="Y45" s="169">
        <f>IF('METRIC UNITS'!BB50="out of range","out of range",'METRIC UNITS'!BB50/6.89474)</f>
        <v>3.3936425682866977E-3</v>
      </c>
      <c r="Z45" s="169">
        <f>IF('METRIC UNITS'!BC50="out of range","out of range",'METRIC UNITS'!BC50/6.89474)</f>
        <v>0.21323964155716524</v>
      </c>
      <c r="AB45" s="166">
        <f>'METRIC UNITS'!BE50*3.28084</f>
        <v>2624.672</v>
      </c>
      <c r="AC45" s="168">
        <f>'METRIC UNITS'!BF50*2.5208</f>
        <v>93.604137054168717</v>
      </c>
      <c r="AD45" s="166">
        <f>'METRIC UNITS'!BG50*3.28084</f>
        <v>2624.672</v>
      </c>
      <c r="AE45" s="169">
        <f>IF('METRIC UNITS'!BH50="out of range","out of range",'METRIC UNITS'!BH50)</f>
        <v>2097.0053154962038</v>
      </c>
      <c r="AF45" s="169">
        <f>IF('METRIC UNITS'!BI50="out of range","out of range",'METRIC UNITS'!BI50/6.89474)</f>
        <v>0.38239083348138647</v>
      </c>
      <c r="AG45" s="169">
        <f>IF('METRIC UNITS'!BJ50="out of range","out of range",'METRIC UNITS'!BJ50/6.89474)</f>
        <v>26.665271766115477</v>
      </c>
      <c r="AH45" s="169">
        <f>IF('METRIC UNITS'!BK50="out of range","out of range",'METRIC UNITS'!BK50)</f>
        <v>151.00990751155172</v>
      </c>
      <c r="AI45" s="169">
        <f>IF('METRIC UNITS'!BL50="out of range","out of range",'METRIC UNITS'!BL50/6.89474)</f>
        <v>0.77421474675909163</v>
      </c>
      <c r="AJ45" s="169">
        <f>IF('METRIC UNITS'!BM50="out of range","out of range",'METRIC UNITS'!BM50/6.89474)</f>
        <v>46.877428266350471</v>
      </c>
      <c r="AK45" s="169">
        <f>IF('METRIC UNITS'!BN50="out of range","out of range",'METRIC UNITS'!BN50/6.89474)</f>
        <v>3.3936425682866977E-3</v>
      </c>
      <c r="AL45" s="169">
        <f>IF('METRIC UNITS'!BO50="out of range","out of range",'METRIC UNITS'!BO50/6.89474)</f>
        <v>0.21323964155716524</v>
      </c>
    </row>
    <row r="46" spans="1:38" x14ac:dyDescent="0.3">
      <c r="B46" s="62"/>
      <c r="C46" s="54" t="s">
        <v>22</v>
      </c>
      <c r="D46" s="54"/>
      <c r="E46" s="203">
        <f>'METRIC UNITS'!E51/6.89474</f>
        <v>426.32315700944901</v>
      </c>
      <c r="F46" s="504">
        <f>'METRIC UNITS'!F51/6.89474</f>
        <v>426.32315700944901</v>
      </c>
      <c r="G46" s="505"/>
      <c r="H46" s="329"/>
      <c r="I46" s="217" t="s">
        <v>27</v>
      </c>
      <c r="K46" s="434">
        <f>'METRIC UNITS'!K51</f>
        <v>1</v>
      </c>
      <c r="L46" s="54"/>
      <c r="M46" s="141"/>
      <c r="N46" s="54"/>
      <c r="P46" s="166">
        <f>'METRIC UNITS'!AS51*3.28084</f>
        <v>2952.7559999999999</v>
      </c>
      <c r="Q46" s="167">
        <v>49.993719061202256</v>
      </c>
      <c r="R46" s="168">
        <f>'METRIC UNITS'!AU51*2.5208</f>
        <v>105.30465418593981</v>
      </c>
      <c r="S46" s="169">
        <f>IF('METRIC UNITS'!AV51="out of range","out of range",'METRIC UNITS'!AV51)</f>
        <v>2420.0482678952185</v>
      </c>
      <c r="T46" s="169">
        <f>IF('METRIC UNITS'!AW51="out of range","out of range",'METRIC UNITS'!AW51/6.89474)</f>
        <v>0.32400844877363727</v>
      </c>
      <c r="U46" s="169">
        <f>IF('METRIC UNITS'!AX51="out of range","out of range",'METRIC UNITS'!AX51/6.89474)</f>
        <v>23.530005865102648</v>
      </c>
      <c r="V46" s="169">
        <f>IF('METRIC UNITS'!AY51="out of range","out of range",'METRIC UNITS'!AY51)</f>
        <v>155.96921859433797</v>
      </c>
      <c r="W46" s="169">
        <f>IF('METRIC UNITS'!AZ51="out of range","out of range",'METRIC UNITS'!AZ51/6.89474)</f>
        <v>0.64801689754727454</v>
      </c>
      <c r="X46" s="169">
        <f>IF('METRIC UNITS'!BA51="out of range","out of range",'METRIC UNITS'!BA51/6.89474)</f>
        <v>41.381301889952105</v>
      </c>
      <c r="Y46" s="169">
        <f>IF('METRIC UNITS'!BB51="out of range","out of range",'METRIC UNITS'!BB51/6.89474)</f>
        <v>2.1574132694663806E-3</v>
      </c>
      <c r="Z46" s="169">
        <f>IF('METRIC UNITS'!BC51="out of range","out of range",'METRIC UNITS'!BC51/6.89474)</f>
        <v>0.13896018579848324</v>
      </c>
      <c r="AB46" s="166">
        <f>'METRIC UNITS'!BE51*3.28084</f>
        <v>2952.7559999999999</v>
      </c>
      <c r="AC46" s="168">
        <f>'METRIC UNITS'!BF51*2.5208</f>
        <v>105.30465418593981</v>
      </c>
      <c r="AD46" s="166">
        <f>'METRIC UNITS'!BG51*3.28084</f>
        <v>2952.7559999999999</v>
      </c>
      <c r="AE46" s="169">
        <f>IF('METRIC UNITS'!BH51="out of range","out of range",'METRIC UNITS'!BH51)</f>
        <v>2420.0482678952185</v>
      </c>
      <c r="AF46" s="169">
        <f>IF('METRIC UNITS'!BI51="out of range","out of range",'METRIC UNITS'!BI51/6.89474)</f>
        <v>0.32400844877363727</v>
      </c>
      <c r="AG46" s="169">
        <f>IF('METRIC UNITS'!BJ51="out of range","out of range",'METRIC UNITS'!BJ51/6.89474)</f>
        <v>23.530005865102648</v>
      </c>
      <c r="AH46" s="169">
        <f>IF('METRIC UNITS'!BK51="out of range","out of range",'METRIC UNITS'!BK51)</f>
        <v>155.96921859433797</v>
      </c>
      <c r="AI46" s="169">
        <f>IF('METRIC UNITS'!BL51="out of range","out of range",'METRIC UNITS'!BL51/6.89474)</f>
        <v>0.64801689754727454</v>
      </c>
      <c r="AJ46" s="169">
        <f>IF('METRIC UNITS'!BM51="out of range","out of range",'METRIC UNITS'!BM51/6.89474)</f>
        <v>41.381301889952105</v>
      </c>
      <c r="AK46" s="169">
        <f>IF('METRIC UNITS'!BN51="out of range","out of range",'METRIC UNITS'!BN51/6.89474)</f>
        <v>2.1574132694663806E-3</v>
      </c>
      <c r="AL46" s="169">
        <f>IF('METRIC UNITS'!BO51="out of range","out of range",'METRIC UNITS'!BO51/6.89474)</f>
        <v>0.13896018579848324</v>
      </c>
    </row>
    <row r="47" spans="1:38" x14ac:dyDescent="0.3">
      <c r="B47" s="62"/>
      <c r="C47" s="54" t="s">
        <v>241</v>
      </c>
      <c r="D47" s="54"/>
      <c r="E47" s="211"/>
      <c r="F47" s="504"/>
      <c r="G47" s="505"/>
      <c r="H47" s="329"/>
      <c r="I47" s="66" t="s">
        <v>26</v>
      </c>
      <c r="K47" s="437"/>
      <c r="L47" s="54"/>
      <c r="M47" s="141"/>
      <c r="N47" s="54"/>
      <c r="P47" s="166">
        <f>'METRIC UNITS'!AS52*3.28084</f>
        <v>3280.84</v>
      </c>
      <c r="Q47" s="167">
        <v>49.993719061202256</v>
      </c>
      <c r="R47" s="168">
        <f>'METRIC UNITS'!AU52*2.5208</f>
        <v>117.0051713177109</v>
      </c>
      <c r="S47" s="169">
        <f>IF('METRIC UNITS'!AV52="out of range","out of range",'METRIC UNITS'!AV52)</f>
        <v>2702.5188179945508</v>
      </c>
      <c r="T47" s="169">
        <f>IF('METRIC UNITS'!AW52="out of range","out of range",'METRIC UNITS'!AW52/6.89474)</f>
        <v>0.27937905801338364</v>
      </c>
      <c r="U47" s="169">
        <f>IF('METRIC UNITS'!AX52="out of range","out of range",'METRIC UNITS'!AX52/6.89474)</f>
        <v>21.039120472780617</v>
      </c>
      <c r="V47" s="169">
        <f>IF('METRIC UNITS'!AY52="out of range","out of range",'METRIC UNITS'!AY52)</f>
        <v>159.96054667338063</v>
      </c>
      <c r="W47" s="169">
        <f>IF('METRIC UNITS'!AZ52="out of range","out of range",'METRIC UNITS'!AZ52/6.89474)</f>
        <v>0.55875811602676728</v>
      </c>
      <c r="X47" s="169">
        <f>IF('METRIC UNITS'!BA52="out of range","out of range",'METRIC UNITS'!BA52/6.89474)</f>
        <v>36.991849225803925</v>
      </c>
      <c r="Y47" s="169">
        <f>IF('METRIC UNITS'!BB52="out of range","out of range",'METRIC UNITS'!BB52/6.89474)</f>
        <v>1.3587495225617803E-3</v>
      </c>
      <c r="Z47" s="169">
        <f>IF('METRIC UNITS'!BC52="out of range","out of range",'METRIC UNITS'!BC52/6.89474)</f>
        <v>8.5538214947218985E-2</v>
      </c>
      <c r="AB47" s="166">
        <f>'METRIC UNITS'!BE52*3.28084</f>
        <v>3280.84</v>
      </c>
      <c r="AC47" s="168">
        <f>'METRIC UNITS'!BF52*2.5208</f>
        <v>117.0051713177109</v>
      </c>
      <c r="AD47" s="166">
        <f>'METRIC UNITS'!BG52*3.28084</f>
        <v>3280.84</v>
      </c>
      <c r="AE47" s="169">
        <f>IF('METRIC UNITS'!BH52="out of range","out of range",'METRIC UNITS'!BH52)</f>
        <v>2702.5188179945508</v>
      </c>
      <c r="AF47" s="169">
        <f>IF('METRIC UNITS'!BI52="out of range","out of range",'METRIC UNITS'!BI52/6.89474)</f>
        <v>0.27937905801338364</v>
      </c>
      <c r="AG47" s="169">
        <f>IF('METRIC UNITS'!BJ52="out of range","out of range",'METRIC UNITS'!BJ52/6.89474)</f>
        <v>21.039120472780617</v>
      </c>
      <c r="AH47" s="169">
        <f>IF('METRIC UNITS'!BK52="out of range","out of range",'METRIC UNITS'!BK52)</f>
        <v>159.96054667338063</v>
      </c>
      <c r="AI47" s="169">
        <f>IF('METRIC UNITS'!BL52="out of range","out of range",'METRIC UNITS'!BL52/6.89474)</f>
        <v>0.55875811602676728</v>
      </c>
      <c r="AJ47" s="169">
        <f>IF('METRIC UNITS'!BM52="out of range","out of range",'METRIC UNITS'!BM52/6.89474)</f>
        <v>36.991849225803925</v>
      </c>
      <c r="AK47" s="169">
        <f>IF('METRIC UNITS'!BN52="out of range","out of range",'METRIC UNITS'!BN52/6.89474)</f>
        <v>1.3587495225617803E-3</v>
      </c>
      <c r="AL47" s="169">
        <f>IF('METRIC UNITS'!BO52="out of range","out of range",'METRIC UNITS'!BO52/6.89474)</f>
        <v>8.5538214947218985E-2</v>
      </c>
    </row>
    <row r="48" spans="1:38" x14ac:dyDescent="0.3">
      <c r="B48" s="62"/>
      <c r="C48" s="54"/>
      <c r="D48" s="54"/>
      <c r="E48" s="211"/>
      <c r="F48" s="504"/>
      <c r="G48" s="505"/>
      <c r="H48" s="329"/>
      <c r="I48" s="84"/>
      <c r="K48" s="382"/>
      <c r="L48" s="54"/>
      <c r="M48" s="141"/>
      <c r="N48" s="54"/>
      <c r="P48" s="166">
        <f>'METRIC UNITS'!AS53*3.28084</f>
        <v>4101.05</v>
      </c>
      <c r="Q48" s="167">
        <v>49.993719061202256</v>
      </c>
      <c r="R48" s="168">
        <f>'METRIC UNITS'!AU53*2.5208</f>
        <v>146.25646414713862</v>
      </c>
      <c r="S48" s="169">
        <f>IF('METRIC UNITS'!AV53="out of range","out of range",'METRIC UNITS'!AV53)</f>
        <v>3414.3735884511957</v>
      </c>
      <c r="T48" s="169">
        <f>IF('METRIC UNITS'!AW53="out of range","out of range",'METRIC UNITS'!AW53/6.89474)</f>
        <v>0.20411749242478919</v>
      </c>
      <c r="U48" s="169">
        <f>IF('METRIC UNITS'!AX53="out of range","out of range",'METRIC UNITS'!AX53/6.89474)</f>
        <v>16.600040462766305</v>
      </c>
      <c r="V48" s="169">
        <f>IF('METRIC UNITS'!AY53="out of range","out of range",'METRIC UNITS'!AY53)</f>
        <v>168.39713233130158</v>
      </c>
      <c r="W48" s="169">
        <f>IF('METRIC UNITS'!AZ53="out of range","out of range",'METRIC UNITS'!AZ53/6.89474)</f>
        <v>0.40823498484957838</v>
      </c>
      <c r="X48" s="169">
        <f>IF('METRIC UNITS'!BA53="out of range","out of range",'METRIC UNITS'!BA53/6.89474)</f>
        <v>29.10897859453409</v>
      </c>
      <c r="Y48" s="169">
        <f>IF('METRIC UNITS'!BB53="out of range","out of range",'METRIC UNITS'!BB53/6.89474)</f>
        <v>4.0650472046547159E-4</v>
      </c>
      <c r="Z48" s="169">
        <f>IF('METRIC UNITS'!BC53="out of range","out of range",'METRIC UNITS'!BC53/6.89474)</f>
        <v>1.8486485491665178E-2</v>
      </c>
      <c r="AB48" s="166">
        <f>'METRIC UNITS'!BE53*3.28084</f>
        <v>4101.05</v>
      </c>
      <c r="AC48" s="168">
        <f>'METRIC UNITS'!BF53*2.5208</f>
        <v>146.25646414713862</v>
      </c>
      <c r="AD48" s="166">
        <f>'METRIC UNITS'!BG53*3.28084</f>
        <v>4101.05</v>
      </c>
      <c r="AE48" s="169">
        <f>IF('METRIC UNITS'!BH53="out of range","out of range",'METRIC UNITS'!BH53)</f>
        <v>3414.3735884511957</v>
      </c>
      <c r="AF48" s="169">
        <f>IF('METRIC UNITS'!BI53="out of range","out of range",'METRIC UNITS'!BI53/6.89474)</f>
        <v>0.20411749242478919</v>
      </c>
      <c r="AG48" s="169">
        <f>IF('METRIC UNITS'!BJ53="out of range","out of range",'METRIC UNITS'!BJ53/6.89474)</f>
        <v>16.600040462766305</v>
      </c>
      <c r="AH48" s="169">
        <f>IF('METRIC UNITS'!BK53="out of range","out of range",'METRIC UNITS'!BK53)</f>
        <v>168.39713233130158</v>
      </c>
      <c r="AI48" s="169">
        <f>IF('METRIC UNITS'!BL53="out of range","out of range",'METRIC UNITS'!BL53/6.89474)</f>
        <v>0.40823498484957838</v>
      </c>
      <c r="AJ48" s="169">
        <f>IF('METRIC UNITS'!BM53="out of range","out of range",'METRIC UNITS'!BM53/6.89474)</f>
        <v>29.10897859453409</v>
      </c>
      <c r="AK48" s="169">
        <f>IF('METRIC UNITS'!BN53="out of range","out of range",'METRIC UNITS'!BN53/6.89474)</f>
        <v>4.0650472046547159E-4</v>
      </c>
      <c r="AL48" s="169">
        <f>IF('METRIC UNITS'!BO53="out of range","out of range",'METRIC UNITS'!BO53/6.89474)</f>
        <v>1.8486485491665178E-2</v>
      </c>
    </row>
    <row r="49" spans="2:38" ht="18.600000000000001" x14ac:dyDescent="0.3">
      <c r="B49" s="62"/>
      <c r="C49" s="54" t="s">
        <v>23</v>
      </c>
      <c r="D49" s="54"/>
      <c r="E49" s="203">
        <f>'METRIC UNITS'!E54/6.89474</f>
        <v>1.2162616356202898</v>
      </c>
      <c r="F49" s="504">
        <f>'METRIC UNITS'!F54/6.89474</f>
        <v>1.2162616356202898</v>
      </c>
      <c r="G49" s="505"/>
      <c r="H49" s="329"/>
      <c r="I49" s="66" t="s">
        <v>70</v>
      </c>
      <c r="K49" s="382"/>
      <c r="L49" s="155"/>
      <c r="M49" s="198"/>
      <c r="N49" s="155"/>
      <c r="P49" s="166">
        <f>'METRIC UNITS'!AS54*3.28084</f>
        <v>4921.26</v>
      </c>
      <c r="Q49" s="167">
        <v>49.993719061202256</v>
      </c>
      <c r="R49" s="168">
        <f>'METRIC UNITS'!AU54*2.5208</f>
        <v>175.50775697656636</v>
      </c>
      <c r="S49" s="169">
        <f>IF('METRIC UNITS'!AV54="out of range","out of range",'METRIC UNITS'!AV54)</f>
        <v>4133.1117513557983</v>
      </c>
      <c r="T49" s="169">
        <f>IF('METRIC UNITS'!AW54="out of range","out of range",'METRIC UNITS'!AW54/6.89474)</f>
        <v>0.15794427319644971</v>
      </c>
      <c r="U49" s="169">
        <f>IF('METRIC UNITS'!AX54="out of range","out of range",'METRIC UNITS'!AX54/6.89474)</f>
        <v>13.677876035267731</v>
      </c>
      <c r="V49" s="169">
        <f>IF('METRIC UNITS'!AY54="out of range","out of range",'METRIC UNITS'!AY54)</f>
        <v>175.2447832443211</v>
      </c>
      <c r="W49" s="169">
        <f>IF('METRIC UNITS'!AZ54="out of range","out of range",'METRIC UNITS'!AZ54/6.89474)</f>
        <v>0.31588854639289943</v>
      </c>
      <c r="X49" s="169">
        <f>IF('METRIC UNITS'!BA54="out of range","out of range",'METRIC UNITS'!BA54/6.89474)</f>
        <v>23.87013646733876</v>
      </c>
      <c r="Y49" s="169" t="str">
        <f>IF('METRIC UNITS'!BB54="out of range","out of range",'METRIC UNITS'!BB54/6.89474)</f>
        <v>out of range</v>
      </c>
      <c r="Z49" s="169" t="str">
        <f>IF('METRIC UNITS'!BC54="out of range","out of range",'METRIC UNITS'!BC54/6.89474)</f>
        <v>out of range</v>
      </c>
      <c r="AB49" s="166">
        <f>'METRIC UNITS'!BE54*3.28084</f>
        <v>4921.26</v>
      </c>
      <c r="AC49" s="168">
        <f>'METRIC UNITS'!BF54*2.5208</f>
        <v>175.50775697656636</v>
      </c>
      <c r="AD49" s="166">
        <f>'METRIC UNITS'!BG54*3.28084</f>
        <v>4921.26</v>
      </c>
      <c r="AE49" s="169">
        <f>IF('METRIC UNITS'!BH54="out of range","out of range",'METRIC UNITS'!BH54)</f>
        <v>4133.1117513557983</v>
      </c>
      <c r="AF49" s="169">
        <f>IF('METRIC UNITS'!BI54="out of range","out of range",'METRIC UNITS'!BI54/6.89474)</f>
        <v>0.15794427319644971</v>
      </c>
      <c r="AG49" s="169">
        <f>IF('METRIC UNITS'!BJ54="out of range","out of range",'METRIC UNITS'!BJ54/6.89474)</f>
        <v>13.677876035267731</v>
      </c>
      <c r="AH49" s="169">
        <f>IF('METRIC UNITS'!BK54="out of range","out of range",'METRIC UNITS'!BK54)</f>
        <v>175.2447832443211</v>
      </c>
      <c r="AI49" s="169">
        <f>IF('METRIC UNITS'!BL54="out of range","out of range",'METRIC UNITS'!BL54/6.89474)</f>
        <v>0.31588854639289943</v>
      </c>
      <c r="AJ49" s="169">
        <f>IF('METRIC UNITS'!BM54="out of range","out of range",'METRIC UNITS'!BM54/6.89474)</f>
        <v>23.87013646733876</v>
      </c>
      <c r="AK49" s="169" t="str">
        <f>IF('METRIC UNITS'!BN54="out of range","out of range",'METRIC UNITS'!BN54/6.89474)</f>
        <v>out of range</v>
      </c>
      <c r="AL49" s="169" t="str">
        <f>IF('METRIC UNITS'!BO54="out of range","out of range",'METRIC UNITS'!BO54/6.89474)</f>
        <v>out of range</v>
      </c>
    </row>
    <row r="50" spans="2:38" x14ac:dyDescent="0.3">
      <c r="B50" s="62"/>
      <c r="C50" s="54" t="s">
        <v>243</v>
      </c>
      <c r="D50" s="54"/>
      <c r="E50" s="211"/>
      <c r="F50" s="504"/>
      <c r="G50" s="505"/>
      <c r="H50" s="329"/>
      <c r="I50" s="217" t="s">
        <v>28</v>
      </c>
      <c r="K50" s="434">
        <f>'METRIC UNITS'!K55</f>
        <v>1</v>
      </c>
      <c r="L50" s="54"/>
      <c r="M50" s="141"/>
      <c r="N50" s="54"/>
      <c r="P50" s="166">
        <f>'METRIC UNITS'!AS55*3.28084</f>
        <v>5741.47</v>
      </c>
      <c r="Q50" s="167">
        <v>49.993719061202256</v>
      </c>
      <c r="R50" s="168">
        <f>'METRIC UNITS'!AU55*2.5208</f>
        <v>204.75904980599407</v>
      </c>
      <c r="S50" s="169">
        <f>IF('METRIC UNITS'!AV55="out of range","out of range",'METRIC UNITS'!AV55)</f>
        <v>4857.6251017459954</v>
      </c>
      <c r="T50" s="169">
        <f>IF('METRIC UNITS'!AW55="out of range","out of range",'METRIC UNITS'!AW55/6.89474)</f>
        <v>0.12715590389107181</v>
      </c>
      <c r="U50" s="169">
        <f>IF('METRIC UNITS'!AX55="out of range","out of range",'METRIC UNITS'!AX55/6.89474)</f>
        <v>11.612378225505605</v>
      </c>
      <c r="V50" s="169">
        <f>IF('METRIC UNITS'!AY55="out of range","out of range",'METRIC UNITS'!AY55)</f>
        <v>180.97969227155954</v>
      </c>
      <c r="W50" s="169">
        <f>IF('METRIC UNITS'!AZ55="out of range","out of range",'METRIC UNITS'!AZ55/6.89474)</f>
        <v>0.25431180778214363</v>
      </c>
      <c r="X50" s="169">
        <f>IF('METRIC UNITS'!BA55="out of range","out of range",'METRIC UNITS'!BA55/6.89474)</f>
        <v>20.140060494739483</v>
      </c>
      <c r="Y50" s="169" t="str">
        <f>IF('METRIC UNITS'!BB55="out of range","out of range",'METRIC UNITS'!BB55/6.89474)</f>
        <v>out of range</v>
      </c>
      <c r="Z50" s="169" t="str">
        <f>IF('METRIC UNITS'!BC55="out of range","out of range",'METRIC UNITS'!BC55/6.89474)</f>
        <v>out of range</v>
      </c>
      <c r="AB50" s="166">
        <f>'METRIC UNITS'!BE55*3.28084</f>
        <v>5741.47</v>
      </c>
      <c r="AC50" s="168">
        <f>'METRIC UNITS'!BF55*2.5208</f>
        <v>204.75904980599407</v>
      </c>
      <c r="AD50" s="166">
        <f>'METRIC UNITS'!BG55*3.28084</f>
        <v>5741.47</v>
      </c>
      <c r="AE50" s="169">
        <f>IF('METRIC UNITS'!BH55="out of range","out of range",'METRIC UNITS'!BH55)</f>
        <v>4857.6251017459954</v>
      </c>
      <c r="AF50" s="169">
        <f>IF('METRIC UNITS'!BI55="out of range","out of range",'METRIC UNITS'!BI55/6.89474)</f>
        <v>0.12715590389107181</v>
      </c>
      <c r="AG50" s="169">
        <f>IF('METRIC UNITS'!BJ55="out of range","out of range",'METRIC UNITS'!BJ55/6.89474)</f>
        <v>11.612378225505605</v>
      </c>
      <c r="AH50" s="169">
        <f>IF('METRIC UNITS'!BK55="out of range","out of range",'METRIC UNITS'!BK55)</f>
        <v>180.97969227155954</v>
      </c>
      <c r="AI50" s="169">
        <f>IF('METRIC UNITS'!BL55="out of range","out of range",'METRIC UNITS'!BL55/6.89474)</f>
        <v>0.25431180778214363</v>
      </c>
      <c r="AJ50" s="169">
        <f>IF('METRIC UNITS'!BM55="out of range","out of range",'METRIC UNITS'!BM55/6.89474)</f>
        <v>20.140060494739483</v>
      </c>
      <c r="AK50" s="169" t="str">
        <f>IF('METRIC UNITS'!BN55="out of range","out of range",'METRIC UNITS'!BN55/6.89474)</f>
        <v>out of range</v>
      </c>
      <c r="AL50" s="169" t="str">
        <f>IF('METRIC UNITS'!BO55="out of range","out of range",'METRIC UNITS'!BO55/6.89474)</f>
        <v>out of range</v>
      </c>
    </row>
    <row r="51" spans="2:38" x14ac:dyDescent="0.3">
      <c r="B51" s="62"/>
      <c r="C51" s="54"/>
      <c r="D51" s="54"/>
      <c r="E51" s="211"/>
      <c r="F51" s="504"/>
      <c r="G51" s="505"/>
      <c r="H51" s="332"/>
      <c r="I51" s="66" t="s">
        <v>26</v>
      </c>
      <c r="J51" s="54"/>
      <c r="K51" s="431"/>
      <c r="L51" s="54"/>
      <c r="M51" s="141"/>
      <c r="N51" s="54"/>
      <c r="P51" s="166">
        <f>'METRIC UNITS'!AS56*3.28084</f>
        <v>6561.68</v>
      </c>
      <c r="Q51" s="167">
        <v>49.993719061202256</v>
      </c>
      <c r="R51" s="168">
        <f>'METRIC UNITS'!AU56*2.5208</f>
        <v>234.01034263542181</v>
      </c>
      <c r="S51" s="169">
        <f>IF('METRIC UNITS'!AV56="out of range","out of range",'METRIC UNITS'!AV56)</f>
        <v>5587.1194457548609</v>
      </c>
      <c r="T51" s="169">
        <f>IF('METRIC UNITS'!AW56="out of range","out of range",'METRIC UNITS'!AW56/6.89474)</f>
        <v>0.10538166518925565</v>
      </c>
      <c r="U51" s="169">
        <f>IF('METRIC UNITS'!AX56="out of range","out of range",'METRIC UNITS'!AX56/6.89474)</f>
        <v>10.077057230653356</v>
      </c>
      <c r="V51" s="169">
        <f>IF('METRIC UNITS'!AY56="out of range","out of range",'METRIC UNITS'!AY56)</f>
        <v>185.89248728759281</v>
      </c>
      <c r="W51" s="169">
        <f>IF('METRIC UNITS'!AZ56="out of range","out of range",'METRIC UNITS'!AZ56/6.89474)</f>
        <v>0.2107633303785113</v>
      </c>
      <c r="X51" s="169">
        <f>IF('METRIC UNITS'!BA56="out of range","out of range",'METRIC UNITS'!BA56/6.89474)</f>
        <v>17.352241775583426</v>
      </c>
      <c r="Y51" s="169" t="str">
        <f>IF('METRIC UNITS'!BB56="out of range","out of range",'METRIC UNITS'!BB56/6.89474)</f>
        <v>out of range</v>
      </c>
      <c r="Z51" s="169" t="str">
        <f>IF('METRIC UNITS'!BC56="out of range","out of range",'METRIC UNITS'!BC56/6.89474)</f>
        <v>out of range</v>
      </c>
      <c r="AB51" s="166">
        <f>'METRIC UNITS'!BE56*3.28084</f>
        <v>6561.68</v>
      </c>
      <c r="AC51" s="168">
        <f>'METRIC UNITS'!BF56*2.5208</f>
        <v>234.01034263542181</v>
      </c>
      <c r="AD51" s="166">
        <f>'METRIC UNITS'!BG56*3.28084</f>
        <v>6561.68</v>
      </c>
      <c r="AE51" s="169">
        <f>IF('METRIC UNITS'!BH56="out of range","out of range",'METRIC UNITS'!BH56)</f>
        <v>5587.1194457548609</v>
      </c>
      <c r="AF51" s="169">
        <f>IF('METRIC UNITS'!BI56="out of range","out of range",'METRIC UNITS'!BI56/6.89474)</f>
        <v>0.10538166518925565</v>
      </c>
      <c r="AG51" s="169">
        <f>IF('METRIC UNITS'!BJ56="out of range","out of range",'METRIC UNITS'!BJ56/6.89474)</f>
        <v>10.077057230653356</v>
      </c>
      <c r="AH51" s="169">
        <f>IF('METRIC UNITS'!BK56="out of range","out of range",'METRIC UNITS'!BK56)</f>
        <v>185.89248728759281</v>
      </c>
      <c r="AI51" s="169">
        <f>IF('METRIC UNITS'!BL56="out of range","out of range",'METRIC UNITS'!BL56/6.89474)</f>
        <v>0.2107633303785113</v>
      </c>
      <c r="AJ51" s="169">
        <f>IF('METRIC UNITS'!BM56="out of range","out of range",'METRIC UNITS'!BM56/6.89474)</f>
        <v>17.352241775583426</v>
      </c>
      <c r="AK51" s="169" t="str">
        <f>IF('METRIC UNITS'!BN56="out of range","out of range",'METRIC UNITS'!BN56/6.89474)</f>
        <v>out of range</v>
      </c>
      <c r="AL51" s="169" t="str">
        <f>IF('METRIC UNITS'!BO56="out of range","out of range",'METRIC UNITS'!BO56/6.89474)</f>
        <v>out of range</v>
      </c>
    </row>
    <row r="52" spans="2:38" x14ac:dyDescent="0.3">
      <c r="B52" s="62"/>
      <c r="C52" s="54" t="s">
        <v>284</v>
      </c>
      <c r="D52" s="54"/>
      <c r="E52" s="203">
        <f>'METRIC UNITS'!E57/6.89474</f>
        <v>23.479159540653267</v>
      </c>
      <c r="F52" s="504">
        <f>'METRIC UNITS'!F57/6.89474</f>
        <v>23.479159540653267</v>
      </c>
      <c r="G52" s="505"/>
      <c r="H52" s="329"/>
      <c r="J52" s="209"/>
      <c r="K52" s="209"/>
      <c r="L52" s="54"/>
      <c r="M52" s="141"/>
      <c r="N52" s="54"/>
      <c r="P52" s="166">
        <f>'METRIC UNITS'!AS57*3.28084</f>
        <v>7381.89</v>
      </c>
      <c r="Q52" s="167">
        <v>49.993719061202256</v>
      </c>
      <c r="R52" s="168">
        <f>'METRIC UNITS'!AU57*2.5208</f>
        <v>263.26163546484952</v>
      </c>
      <c r="S52" s="169">
        <f>IF('METRIC UNITS'!AV57="out of range","out of range",'METRIC UNITS'!AV57)</f>
        <v>6320.9967810221742</v>
      </c>
      <c r="T52" s="169">
        <f>IF('METRIC UNITS'!AW57="out of range","out of range",'METRIC UNITS'!AW57/6.89474)</f>
        <v>8.9292281293180134E-2</v>
      </c>
      <c r="U52" s="169">
        <f>IF('METRIC UNITS'!AX57="out of range","out of range",'METRIC UNITS'!AX57/6.89474)</f>
        <v>8.892210730871188</v>
      </c>
      <c r="V52" s="169">
        <f>IF('METRIC UNITS'!AY57="out of range","out of range",'METRIC UNITS'!AY57)</f>
        <v>190.17370312012218</v>
      </c>
      <c r="W52" s="169">
        <f>IF('METRIC UNITS'!AZ57="out of range","out of range",'METRIC UNITS'!AZ57/6.89474)</f>
        <v>0.17858456258636027</v>
      </c>
      <c r="X52" s="169">
        <f>IF('METRIC UNITS'!BA57="out of range","out of range",'METRIC UNITS'!BA57/6.89474)</f>
        <v>15.192198397357485</v>
      </c>
      <c r="Y52" s="169" t="str">
        <f>IF('METRIC UNITS'!BB57="out of range","out of range",'METRIC UNITS'!BB57/6.89474)</f>
        <v>out of range</v>
      </c>
      <c r="Z52" s="169" t="str">
        <f>IF('METRIC UNITS'!BC57="out of range","out of range",'METRIC UNITS'!BC57/6.89474)</f>
        <v>out of range</v>
      </c>
      <c r="AB52" s="166">
        <f>'METRIC UNITS'!BE57*3.28084</f>
        <v>7381.89</v>
      </c>
      <c r="AC52" s="168">
        <f>'METRIC UNITS'!BF57*2.5208</f>
        <v>263.26163546484952</v>
      </c>
      <c r="AD52" s="166">
        <f>'METRIC UNITS'!BG57*3.28084</f>
        <v>7381.89</v>
      </c>
      <c r="AE52" s="169">
        <f>IF('METRIC UNITS'!BH57="out of range","out of range",'METRIC UNITS'!BH57)</f>
        <v>6320.9967810221742</v>
      </c>
      <c r="AF52" s="169">
        <f>IF('METRIC UNITS'!BI57="out of range","out of range",'METRIC UNITS'!BI57/6.89474)</f>
        <v>8.9292281293180134E-2</v>
      </c>
      <c r="AG52" s="169">
        <f>IF('METRIC UNITS'!BJ57="out of range","out of range",'METRIC UNITS'!BJ57/6.89474)</f>
        <v>8.892210730871188</v>
      </c>
      <c r="AH52" s="169">
        <f>IF('METRIC UNITS'!BK57="out of range","out of range",'METRIC UNITS'!BK57)</f>
        <v>190.17370312012218</v>
      </c>
      <c r="AI52" s="169">
        <f>IF('METRIC UNITS'!BL57="out of range","out of range",'METRIC UNITS'!BL57/6.89474)</f>
        <v>0.17858456258636027</v>
      </c>
      <c r="AJ52" s="169">
        <f>IF('METRIC UNITS'!BM57="out of range","out of range",'METRIC UNITS'!BM57/6.89474)</f>
        <v>15.192198397357485</v>
      </c>
      <c r="AK52" s="169" t="str">
        <f>IF('METRIC UNITS'!BN57="out of range","out of range",'METRIC UNITS'!BN57/6.89474)</f>
        <v>out of range</v>
      </c>
      <c r="AL52" s="169" t="str">
        <f>IF('METRIC UNITS'!BO57="out of range","out of range",'METRIC UNITS'!BO57/6.89474)</f>
        <v>out of range</v>
      </c>
    </row>
    <row r="53" spans="2:38" ht="19.5" customHeight="1" x14ac:dyDescent="0.3">
      <c r="B53" s="62"/>
      <c r="C53" s="54" t="s">
        <v>241</v>
      </c>
      <c r="D53" s="54"/>
      <c r="E53" s="244"/>
      <c r="F53" s="521"/>
      <c r="G53" s="522"/>
      <c r="H53" s="333"/>
      <c r="J53" s="245"/>
      <c r="K53" s="245"/>
      <c r="L53" s="196"/>
      <c r="M53" s="246"/>
      <c r="N53" s="196"/>
      <c r="P53" s="166">
        <f>'METRIC UNITS'!AS58*3.28084</f>
        <v>8202.1</v>
      </c>
      <c r="Q53" s="167">
        <v>49.993719061202256</v>
      </c>
      <c r="R53" s="168">
        <f>'METRIC UNITS'!AU58*2.5208</f>
        <v>292.51292829427723</v>
      </c>
      <c r="S53" s="169">
        <f>IF('METRIC UNITS'!AV58="out of range","out of range",'METRIC UNITS'!AV58)</f>
        <v>7058.790097625867</v>
      </c>
      <c r="T53" s="169">
        <f>IF('METRIC UNITS'!AW58="out of range","out of range",'METRIC UNITS'!AW58/6.89474)</f>
        <v>7.6993033761854443E-2</v>
      </c>
      <c r="U53" s="169">
        <f>IF('METRIC UNITS'!AX58="out of range","out of range",'METRIC UNITS'!AX58/6.89474)</f>
        <v>7.9508816916028122</v>
      </c>
      <c r="V53" s="169">
        <f>IF('METRIC UNITS'!AY58="out of range","out of range",'METRIC UNITS'!AY58)</f>
        <v>193.95503424917658</v>
      </c>
      <c r="W53" s="169">
        <f>IF('METRIC UNITS'!AZ58="out of range","out of range",'METRIC UNITS'!AZ58/6.89474)</f>
        <v>0.15398606752370889</v>
      </c>
      <c r="X53" s="169">
        <f>IF('METRIC UNITS'!BA58="out of range","out of range",'METRIC UNITS'!BA58/6.89474)</f>
        <v>13.471286422298425</v>
      </c>
      <c r="Y53" s="169" t="str">
        <f>IF('METRIC UNITS'!BB58="out of range","out of range",'METRIC UNITS'!BB58/6.89474)</f>
        <v>out of range</v>
      </c>
      <c r="Z53" s="169" t="str">
        <f>IF('METRIC UNITS'!BC58="out of range","out of range",'METRIC UNITS'!BC58/6.89474)</f>
        <v>out of range</v>
      </c>
      <c r="AB53" s="166">
        <f>'METRIC UNITS'!BE58*3.28084</f>
        <v>8202.1</v>
      </c>
      <c r="AC53" s="168">
        <f>'METRIC UNITS'!BF58*2.5208</f>
        <v>292.51292829427723</v>
      </c>
      <c r="AD53" s="166">
        <f>'METRIC UNITS'!BG58*3.28084</f>
        <v>8202.1</v>
      </c>
      <c r="AE53" s="249">
        <f>IF('METRIC UNITS'!BH58="out of range","out of range",'METRIC UNITS'!BH58)</f>
        <v>7058.790097625867</v>
      </c>
      <c r="AF53" s="249">
        <f>IF('METRIC UNITS'!BI58="out of range","out of range",'METRIC UNITS'!BI58/6.89474)</f>
        <v>7.6993033761854443E-2</v>
      </c>
      <c r="AG53" s="249">
        <f>IF('METRIC UNITS'!BJ58="out of range","out of range",'METRIC UNITS'!BJ58/6.89474)</f>
        <v>7.9508816916028122</v>
      </c>
      <c r="AH53" s="249">
        <f>IF('METRIC UNITS'!BK58="out of range","out of range",'METRIC UNITS'!BK58)</f>
        <v>193.95503424917658</v>
      </c>
      <c r="AI53" s="249">
        <f>IF('METRIC UNITS'!BL58="out of range","out of range",'METRIC UNITS'!BL58/6.89474)</f>
        <v>0.15398606752370889</v>
      </c>
      <c r="AJ53" s="249">
        <f>IF('METRIC UNITS'!BM58="out of range","out of range",'METRIC UNITS'!BM58/6.89474)</f>
        <v>13.471286422298425</v>
      </c>
      <c r="AK53" s="249" t="str">
        <f>IF('METRIC UNITS'!BN58="out of range","out of range",'METRIC UNITS'!BN58/6.89474)</f>
        <v>out of range</v>
      </c>
      <c r="AL53" s="249" t="str">
        <f>IF('METRIC UNITS'!BO58="out of range","out of range",'METRIC UNITS'!BO58/6.89474)</f>
        <v>out of range</v>
      </c>
    </row>
    <row r="54" spans="2:38" ht="23.4" thickBot="1" x14ac:dyDescent="0.45">
      <c r="B54" s="62"/>
      <c r="C54" s="186"/>
      <c r="D54" s="186"/>
      <c r="E54" s="186"/>
      <c r="F54" s="186"/>
      <c r="G54" s="186"/>
      <c r="H54" s="186"/>
      <c r="I54" s="186"/>
      <c r="J54" s="248"/>
      <c r="K54" s="196"/>
      <c r="L54" s="60"/>
      <c r="M54" s="189"/>
      <c r="N54" s="60"/>
      <c r="P54" s="250">
        <f>'METRIC UNITS'!AS59*3.28084</f>
        <v>9842.52</v>
      </c>
      <c r="Q54" s="251">
        <v>49.993719061202256</v>
      </c>
      <c r="R54" s="252">
        <f>'METRIC UNITS'!AU59*2.5208</f>
        <v>351.01551395313271</v>
      </c>
      <c r="S54" s="253">
        <f>IF('METRIC UNITS'!AV59="out of range","out of range",'METRIC UNITS'!AV59)</f>
        <v>8544.6913019513686</v>
      </c>
      <c r="T54" s="253">
        <f>IF('METRIC UNITS'!AW59="out of range","out of range",'METRIC UNITS'!AW59/6.89474)</f>
        <v>5.9576514556618047E-2</v>
      </c>
      <c r="U54" s="253">
        <f>IF('METRIC UNITS'!AX59="out of range","out of range",'METRIC UNITS'!AX59/6.89474)</f>
        <v>6.5512595823335955</v>
      </c>
      <c r="V54" s="253">
        <f>IF('METRIC UNITS'!AY59="out of range","out of range",'METRIC UNITS'!AY59)</f>
        <v>200.37297829809913</v>
      </c>
      <c r="W54" s="253">
        <f>IF('METRIC UNITS'!AZ59="out of range","out of range",'METRIC UNITS'!AZ59/6.89474)</f>
        <v>0.11915302911323609</v>
      </c>
      <c r="X54" s="253">
        <f>IF('METRIC UNITS'!BA59="out of range","out of range",'METRIC UNITS'!BA59/6.89474)</f>
        <v>10.90669650419238</v>
      </c>
      <c r="Y54" s="253" t="str">
        <f>IF('METRIC UNITS'!BB59="out of range","out of range",'METRIC UNITS'!BB59/6.89474)</f>
        <v>out of range</v>
      </c>
      <c r="Z54" s="253" t="str">
        <f>IF('METRIC UNITS'!BC59="out of range","out of range",'METRIC UNITS'!BC59/6.89474)</f>
        <v>out of range</v>
      </c>
      <c r="AB54" s="250">
        <f>'METRIC UNITS'!BE59*3.28084</f>
        <v>9842.52</v>
      </c>
      <c r="AC54" s="254">
        <f>'METRIC UNITS'!BF59*2.5208</f>
        <v>351.01551395313271</v>
      </c>
      <c r="AD54" s="255">
        <f>'METRIC UNITS'!BG59*3.28084</f>
        <v>9842.52</v>
      </c>
      <c r="AE54" s="256">
        <f>IF('METRIC UNITS'!BH59="out of range","out of range",'METRIC UNITS'!BH59)</f>
        <v>8544.6913019513686</v>
      </c>
      <c r="AF54" s="256">
        <f>IF('METRIC UNITS'!BI59="out of range","out of range",'METRIC UNITS'!BI59/6.89474)</f>
        <v>5.9576514556618047E-2</v>
      </c>
      <c r="AG54" s="256">
        <f>IF('METRIC UNITS'!BJ59="out of range","out of range",'METRIC UNITS'!BJ59/6.89474)</f>
        <v>6.5512595823335955</v>
      </c>
      <c r="AH54" s="256">
        <f>IF('METRIC UNITS'!BK59="out of range","out of range",'METRIC UNITS'!BK59)</f>
        <v>200.37297829809913</v>
      </c>
      <c r="AI54" s="256">
        <f>IF('METRIC UNITS'!BL59="out of range","out of range",'METRIC UNITS'!BL59/6.89474)</f>
        <v>0.11915302911323609</v>
      </c>
      <c r="AJ54" s="256">
        <f>IF('METRIC UNITS'!BM59="out of range","out of range",'METRIC UNITS'!BM59/6.89474)</f>
        <v>10.90669650419238</v>
      </c>
      <c r="AK54" s="256" t="str">
        <f>IF('METRIC UNITS'!BN59="out of range","out of range",'METRIC UNITS'!BN59/6.89474)</f>
        <v>out of range</v>
      </c>
      <c r="AL54" s="256" t="str">
        <f>IF('METRIC UNITS'!BO59="out of range","out of range",'METRIC UNITS'!BO59/6.89474)</f>
        <v>out of range</v>
      </c>
    </row>
    <row r="55" spans="2:38" ht="18.75" customHeight="1" x14ac:dyDescent="0.4">
      <c r="B55" s="62"/>
      <c r="C55" s="642" t="s">
        <v>556</v>
      </c>
      <c r="D55" s="642"/>
      <c r="E55" s="642"/>
      <c r="F55" s="642"/>
      <c r="G55" s="642" t="s">
        <v>557</v>
      </c>
      <c r="H55" s="642"/>
      <c r="I55" s="642"/>
      <c r="J55" s="642"/>
      <c r="K55" s="512"/>
      <c r="L55" s="512"/>
      <c r="M55" s="189"/>
      <c r="N55" s="60"/>
    </row>
    <row r="56" spans="2:38" ht="15.75" customHeight="1" x14ac:dyDescent="0.3">
      <c r="B56" s="62"/>
      <c r="C56" s="517" t="s">
        <v>558</v>
      </c>
      <c r="D56" s="517"/>
      <c r="E56" s="517"/>
      <c r="F56" s="518"/>
      <c r="G56" s="519" t="s">
        <v>560</v>
      </c>
      <c r="H56" s="520"/>
      <c r="I56" s="520"/>
      <c r="J56" s="520"/>
      <c r="K56" s="520"/>
      <c r="L56" s="520"/>
      <c r="M56" s="141"/>
      <c r="N56" s="54"/>
    </row>
    <row r="57" spans="2:38" x14ac:dyDescent="0.3">
      <c r="B57" s="62"/>
      <c r="C57" s="514" t="s">
        <v>561</v>
      </c>
      <c r="D57" s="514"/>
      <c r="E57" s="362">
        <f>'METRIC UNITS'!E62</f>
        <v>0.47254134493750422</v>
      </c>
      <c r="G57" s="257"/>
      <c r="H57" s="54"/>
      <c r="J57" s="382">
        <f>'METRIC UNITS'!J62</f>
        <v>4.7095973810586377E-35</v>
      </c>
      <c r="K57" s="258"/>
      <c r="L57" s="258"/>
      <c r="M57" s="141"/>
      <c r="N57" s="54"/>
    </row>
    <row r="58" spans="2:38" x14ac:dyDescent="0.3">
      <c r="B58" s="62"/>
      <c r="C58" s="514" t="s">
        <v>562</v>
      </c>
      <c r="D58" s="514"/>
      <c r="E58" s="362">
        <f>'METRIC UNITS'!E63</f>
        <v>0.16451040124497643</v>
      </c>
      <c r="G58" s="257"/>
      <c r="H58" s="259"/>
      <c r="K58" s="54"/>
      <c r="L58" s="54"/>
      <c r="M58" s="141"/>
      <c r="N58" s="54"/>
    </row>
    <row r="59" spans="2:38" x14ac:dyDescent="0.3">
      <c r="B59" s="62"/>
      <c r="C59" s="514" t="s">
        <v>563</v>
      </c>
      <c r="D59" s="514"/>
      <c r="E59" s="362">
        <f>'METRIC UNITS'!E64</f>
        <v>3.4161628719730519E-3</v>
      </c>
      <c r="G59" s="257"/>
      <c r="K59" s="54"/>
      <c r="L59" s="54"/>
      <c r="M59" s="141"/>
      <c r="N59" s="54"/>
    </row>
    <row r="60" spans="2:38" ht="16.2" thickBot="1" x14ac:dyDescent="0.35"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4"/>
      <c r="N60" s="54"/>
    </row>
    <row r="61" spans="2:38" ht="19.5" customHeight="1" thickTop="1" x14ac:dyDescent="0.3">
      <c r="C61" s="334"/>
      <c r="D61" s="54"/>
      <c r="E61" s="335" t="s">
        <v>619</v>
      </c>
      <c r="F61" s="335"/>
      <c r="G61" s="336"/>
      <c r="H61" s="336"/>
    </row>
    <row r="62" spans="2:38" x14ac:dyDescent="0.3">
      <c r="C62" s="54"/>
      <c r="D62" s="54"/>
      <c r="E62" s="90"/>
      <c r="F62" s="90"/>
    </row>
    <row r="63" spans="2:38" x14ac:dyDescent="0.3">
      <c r="C63" s="54"/>
      <c r="D63" s="54"/>
    </row>
    <row r="64" spans="2:38" x14ac:dyDescent="0.3">
      <c r="C64" s="54"/>
      <c r="D64" s="54"/>
    </row>
    <row r="65" spans="3:11" ht="18.75" customHeight="1" x14ac:dyDescent="0.3">
      <c r="C65" s="54"/>
      <c r="D65" s="54"/>
      <c r="I65" s="193"/>
    </row>
    <row r="66" spans="3:11" x14ac:dyDescent="0.3">
      <c r="I66" s="66"/>
      <c r="J66" s="77"/>
      <c r="K66" s="77"/>
    </row>
    <row r="67" spans="3:11" x14ac:dyDescent="0.3">
      <c r="I67" s="66"/>
      <c r="J67" s="77"/>
      <c r="K67" s="77"/>
    </row>
    <row r="68" spans="3:11" x14ac:dyDescent="0.3">
      <c r="I68" s="66"/>
      <c r="J68" s="77"/>
      <c r="K68" s="77"/>
    </row>
    <row r="69" spans="3:11" ht="19.5" customHeight="1" x14ac:dyDescent="0.3"/>
    <row r="70" spans="3:11" x14ac:dyDescent="0.3">
      <c r="I70" s="66"/>
    </row>
    <row r="71" spans="3:11" ht="21" customHeight="1" x14ac:dyDescent="0.3">
      <c r="I71" s="66"/>
    </row>
    <row r="72" spans="3:11" x14ac:dyDescent="0.3">
      <c r="I72" s="66"/>
      <c r="J72" s="337"/>
      <c r="K72" s="337"/>
    </row>
    <row r="73" spans="3:11" ht="20.25" customHeight="1" x14ac:dyDescent="0.3"/>
    <row r="74" spans="3:11" ht="21" customHeight="1" x14ac:dyDescent="0.3"/>
    <row r="77" spans="3:11" ht="20.25" customHeight="1" x14ac:dyDescent="0.3"/>
    <row r="80" spans="3:11" ht="19.5" customHeight="1" x14ac:dyDescent="0.3"/>
    <row r="89" ht="19.5" customHeight="1" x14ac:dyDescent="0.3"/>
    <row r="91" ht="16.5" customHeight="1" x14ac:dyDescent="0.3"/>
    <row r="95" ht="19.5" customHeight="1" x14ac:dyDescent="0.3"/>
    <row r="102" ht="19.5" customHeight="1" x14ac:dyDescent="0.3"/>
    <row r="109" ht="19.5" customHeight="1" x14ac:dyDescent="0.3"/>
    <row r="111" ht="16.5" customHeight="1" x14ac:dyDescent="0.3"/>
    <row r="113" ht="16.5" customHeight="1" x14ac:dyDescent="0.3"/>
    <row r="117" ht="16.5" customHeight="1" x14ac:dyDescent="0.3"/>
    <row r="119" ht="16.5" customHeight="1" x14ac:dyDescent="0.3"/>
    <row r="126" ht="16.5" customHeight="1" x14ac:dyDescent="0.3"/>
    <row r="128" ht="16.5" customHeight="1" x14ac:dyDescent="0.3"/>
    <row r="135" ht="16.5" customHeight="1" x14ac:dyDescent="0.3"/>
    <row r="137" ht="16.5" customHeight="1" x14ac:dyDescent="0.3"/>
    <row r="144" ht="16.5" customHeight="1" x14ac:dyDescent="0.3"/>
    <row r="146" ht="16.5" customHeight="1" x14ac:dyDescent="0.3"/>
    <row r="153" ht="16.5" customHeight="1" x14ac:dyDescent="0.3"/>
    <row r="155" ht="16.5" customHeight="1" x14ac:dyDescent="0.3"/>
    <row r="161" spans="15:15" ht="16.5" customHeight="1" x14ac:dyDescent="0.3"/>
    <row r="172" spans="15:15" x14ac:dyDescent="0.3">
      <c r="O172" s="109"/>
    </row>
    <row r="173" spans="15:15" x14ac:dyDescent="0.3">
      <c r="O173" s="109"/>
    </row>
    <row r="174" spans="15:15" x14ac:dyDescent="0.3">
      <c r="O174" s="109"/>
    </row>
    <row r="175" spans="15:15" x14ac:dyDescent="0.3">
      <c r="O175" s="109"/>
    </row>
    <row r="176" spans="15:15" x14ac:dyDescent="0.3">
      <c r="O176" s="109"/>
    </row>
    <row r="177" spans="15:15" x14ac:dyDescent="0.3">
      <c r="O177" s="109"/>
    </row>
    <row r="178" spans="15:15" x14ac:dyDescent="0.3">
      <c r="O178" s="109"/>
    </row>
    <row r="183" spans="15:15" ht="16.2" x14ac:dyDescent="0.35">
      <c r="O183" s="300"/>
    </row>
    <row r="184" spans="15:15" x14ac:dyDescent="0.3">
      <c r="O184" s="109"/>
    </row>
    <row r="185" spans="15:15" ht="16.2" x14ac:dyDescent="0.35">
      <c r="O185" s="300"/>
    </row>
    <row r="186" spans="15:15" x14ac:dyDescent="0.3">
      <c r="O186" s="109"/>
    </row>
    <row r="248" spans="15:15" x14ac:dyDescent="0.3">
      <c r="O248" s="109"/>
    </row>
    <row r="249" spans="15:15" x14ac:dyDescent="0.3">
      <c r="O249" s="109"/>
    </row>
    <row r="250" spans="15:15" x14ac:dyDescent="0.3">
      <c r="O250" s="304"/>
    </row>
    <row r="251" spans="15:15" x14ac:dyDescent="0.3">
      <c r="O251" s="109"/>
    </row>
    <row r="252" spans="15:15" x14ac:dyDescent="0.3">
      <c r="O252" s="108"/>
    </row>
    <row r="253" spans="15:15" x14ac:dyDescent="0.3">
      <c r="O253" s="305"/>
    </row>
    <row r="254" spans="15:15" x14ac:dyDescent="0.3">
      <c r="O254" s="298"/>
    </row>
    <row r="255" spans="15:15" x14ac:dyDescent="0.3">
      <c r="O255" s="109"/>
    </row>
    <row r="256" spans="15:15" x14ac:dyDescent="0.3">
      <c r="O256" s="109"/>
    </row>
    <row r="257" spans="15:15" x14ac:dyDescent="0.3">
      <c r="O257" s="109"/>
    </row>
    <row r="258" spans="15:15" x14ac:dyDescent="0.3">
      <c r="O258" s="108"/>
    </row>
    <row r="259" spans="15:15" x14ac:dyDescent="0.3">
      <c r="O259" s="109"/>
    </row>
    <row r="260" spans="15:15" x14ac:dyDescent="0.3">
      <c r="O260" s="109"/>
    </row>
    <row r="261" spans="15:15" x14ac:dyDescent="0.3">
      <c r="O261" s="304"/>
    </row>
    <row r="262" spans="15:15" x14ac:dyDescent="0.3">
      <c r="O262" s="109"/>
    </row>
    <row r="263" spans="15:15" x14ac:dyDescent="0.3">
      <c r="O263" s="109"/>
    </row>
    <row r="264" spans="15:15" x14ac:dyDescent="0.3">
      <c r="O264" s="109"/>
    </row>
    <row r="265" spans="15:15" x14ac:dyDescent="0.3">
      <c r="O265" s="305"/>
    </row>
    <row r="266" spans="15:15" x14ac:dyDescent="0.3">
      <c r="O266" s="297"/>
    </row>
  </sheetData>
  <sheetProtection password="E5C3" sheet="1" objects="1" scenarios="1"/>
  <mergeCells count="82">
    <mergeCell ref="E4:F4"/>
    <mergeCell ref="C6:E6"/>
    <mergeCell ref="E8:F8"/>
    <mergeCell ref="G8:L8"/>
    <mergeCell ref="C9:E9"/>
    <mergeCell ref="G9:L9"/>
    <mergeCell ref="AE3:AF3"/>
    <mergeCell ref="S4:T4"/>
    <mergeCell ref="U4:W4"/>
    <mergeCell ref="AE4:AF4"/>
    <mergeCell ref="AG3:AI3"/>
    <mergeCell ref="AG4:AI4"/>
    <mergeCell ref="AG10:AH10"/>
    <mergeCell ref="AF11:AG11"/>
    <mergeCell ref="AF12:AG12"/>
    <mergeCell ref="I16:L16"/>
    <mergeCell ref="AE5:AF5"/>
    <mergeCell ref="AG5:AI5"/>
    <mergeCell ref="S6:T6"/>
    <mergeCell ref="U6:W6"/>
    <mergeCell ref="AE6:AF6"/>
    <mergeCell ref="AG6:AI6"/>
    <mergeCell ref="C2:L2"/>
    <mergeCell ref="C3:L3"/>
    <mergeCell ref="S8:V8"/>
    <mergeCell ref="AE8:AH8"/>
    <mergeCell ref="S9:V9"/>
    <mergeCell ref="AE9:AH9"/>
    <mergeCell ref="S5:T5"/>
    <mergeCell ref="U5:W5"/>
    <mergeCell ref="S7:T7"/>
    <mergeCell ref="U7:W7"/>
    <mergeCell ref="AE7:AF7"/>
    <mergeCell ref="AG7:AI7"/>
    <mergeCell ref="P2:Z2"/>
    <mergeCell ref="AC2:AK2"/>
    <mergeCell ref="S3:T3"/>
    <mergeCell ref="U3:W3"/>
    <mergeCell ref="F36:G36"/>
    <mergeCell ref="E27:E28"/>
    <mergeCell ref="F27:G27"/>
    <mergeCell ref="F28:G28"/>
    <mergeCell ref="G10:L10"/>
    <mergeCell ref="G11:L12"/>
    <mergeCell ref="C12:E12"/>
    <mergeCell ref="C14:L14"/>
    <mergeCell ref="C16:E16"/>
    <mergeCell ref="F29:G29"/>
    <mergeCell ref="F30:G30"/>
    <mergeCell ref="F31:G31"/>
    <mergeCell ref="F32:G32"/>
    <mergeCell ref="F33:G33"/>
    <mergeCell ref="F34:G34"/>
    <mergeCell ref="F35:G35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C57:D57"/>
    <mergeCell ref="C58:D58"/>
    <mergeCell ref="C59:D59"/>
    <mergeCell ref="S11:V11"/>
    <mergeCell ref="I26:L26"/>
    <mergeCell ref="I27:L27"/>
    <mergeCell ref="C55:F55"/>
    <mergeCell ref="G55:L55"/>
    <mergeCell ref="C56:F56"/>
    <mergeCell ref="G56:L56"/>
    <mergeCell ref="F49:G49"/>
    <mergeCell ref="F50:G50"/>
    <mergeCell ref="F51:G51"/>
    <mergeCell ref="F52:G52"/>
    <mergeCell ref="F53:G53"/>
    <mergeCell ref="C26:G26"/>
  </mergeCells>
  <phoneticPr fontId="0" type="noConversion"/>
  <dataValidations count="3">
    <dataValidation type="decimal" operator="greaterThan" allowBlank="1" showInputMessage="1" showErrorMessage="1" errorTitle="SUMMARY TABLE RANGE LIMITS!" error="Summary Table Range must be greater than 0." sqref="W11">
      <formula1>0</formula1>
    </dataValidation>
    <dataValidation type="decimal" allowBlank="1" showInputMessage="1" showErrorMessage="1" errorTitle="                ALTITUDE WARNING" error="Out of Range!  _x000a_Altitude must be between -500 and 12,000 feet." sqref="M9:N9">
      <formula1>-500</formula1>
      <formula2>12000</formula2>
    </dataValidation>
    <dataValidation type="decimal" operator="greaterThan" allowBlank="1" showInputMessage="1" showErrorMessage="1" errorTitle="RANGE LIMITS!" error="Range must be greater than 0." sqref="J6:K6">
      <formula1>0</formula1>
    </dataValidation>
  </dataValidations>
  <printOptions horizontalCentered="1"/>
  <pageMargins left="0.75" right="0.75" top="1" bottom="1" header="0.5" footer="0.5"/>
  <pageSetup scale="54" pageOrder="overThenDown" orientation="portrait" horizontalDpi="4294967292" verticalDpi="4294967292" r:id="rId1"/>
  <headerFooter alignWithMargins="0">
    <oddHeader xml:space="preserve">&amp;C&amp;"Times New Roman,Bold"&amp;24BLAST EFFECTS COMPUTER - OPEN&amp;14
&amp;"Times New Roman,Italic"&amp;18(Version 1.0)&amp;"Times New Roman,Bold"&amp;14
</oddHeader>
    <oddFooter>&amp;C&amp;"Charcoal,Bold"&amp;10&amp;D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0"/>
  <sheetViews>
    <sheetView workbookViewId="0">
      <selection activeCell="C38" sqref="C38"/>
    </sheetView>
  </sheetViews>
  <sheetFormatPr defaultColWidth="9" defaultRowHeight="14.4" x14ac:dyDescent="0.3"/>
  <cols>
    <col min="1" max="1" width="26.33203125" style="38" bestFit="1" customWidth="1"/>
    <col min="2" max="2" width="10.33203125" style="33" customWidth="1"/>
    <col min="3" max="3" width="11" style="46" customWidth="1"/>
    <col min="4" max="4" width="22" style="33" customWidth="1"/>
    <col min="5" max="16384" width="9" style="33"/>
  </cols>
  <sheetData>
    <row r="1" spans="1:4" s="36" customFormat="1" ht="15.6" x14ac:dyDescent="0.3">
      <c r="A1" s="37" t="s">
        <v>120</v>
      </c>
      <c r="B1" s="35" t="s">
        <v>121</v>
      </c>
      <c r="C1" s="44" t="s">
        <v>407</v>
      </c>
      <c r="D1" s="36" t="s">
        <v>122</v>
      </c>
    </row>
    <row r="2" spans="1:4" ht="15.6" x14ac:dyDescent="0.3">
      <c r="A2" s="32" t="s">
        <v>57</v>
      </c>
      <c r="B2" s="34">
        <v>1</v>
      </c>
      <c r="C2" s="45">
        <f>B2/2.205</f>
        <v>0.45351473922902491</v>
      </c>
      <c r="D2" s="33" t="s">
        <v>141</v>
      </c>
    </row>
    <row r="3" spans="1:4" ht="15.6" x14ac:dyDescent="0.3">
      <c r="A3" s="32" t="s">
        <v>565</v>
      </c>
      <c r="B3" s="34">
        <v>192</v>
      </c>
      <c r="C3" s="45">
        <f t="shared" ref="C3:C10" si="0">B3/2.205</f>
        <v>87.074829931972786</v>
      </c>
      <c r="D3" s="33" t="s">
        <v>142</v>
      </c>
    </row>
    <row r="4" spans="1:4" ht="15.6" x14ac:dyDescent="0.3">
      <c r="A4" s="32" t="s">
        <v>566</v>
      </c>
      <c r="B4" s="34">
        <v>445</v>
      </c>
      <c r="C4" s="45">
        <f t="shared" si="0"/>
        <v>201.81405895691609</v>
      </c>
      <c r="D4" s="33" t="s">
        <v>142</v>
      </c>
    </row>
    <row r="5" spans="1:4" ht="15.6" x14ac:dyDescent="0.3">
      <c r="A5" s="32" t="s">
        <v>567</v>
      </c>
      <c r="B5" s="34">
        <v>945</v>
      </c>
      <c r="C5" s="45">
        <f t="shared" si="0"/>
        <v>428.57142857142856</v>
      </c>
      <c r="D5" s="33" t="s">
        <v>142</v>
      </c>
    </row>
    <row r="6" spans="1:4" ht="15.6" x14ac:dyDescent="0.3">
      <c r="A6" s="32" t="s">
        <v>568</v>
      </c>
      <c r="B6" s="34">
        <v>386</v>
      </c>
      <c r="C6" s="45">
        <f t="shared" si="0"/>
        <v>175.05668934240362</v>
      </c>
      <c r="D6" s="33" t="s">
        <v>142</v>
      </c>
    </row>
    <row r="7" spans="1:4" ht="15.6" x14ac:dyDescent="0.3">
      <c r="A7" s="32" t="s">
        <v>570</v>
      </c>
      <c r="B7" s="34">
        <v>0.187</v>
      </c>
      <c r="C7" s="45">
        <f t="shared" si="0"/>
        <v>8.480725623582766E-2</v>
      </c>
      <c r="D7" s="33" t="s">
        <v>141</v>
      </c>
    </row>
    <row r="8" spans="1:4" ht="15.6" x14ac:dyDescent="0.3">
      <c r="A8" s="32" t="s">
        <v>569</v>
      </c>
      <c r="B8" s="34">
        <v>5</v>
      </c>
      <c r="C8" s="45">
        <f t="shared" si="0"/>
        <v>2.2675736961451247</v>
      </c>
      <c r="D8" s="33" t="s">
        <v>40</v>
      </c>
    </row>
    <row r="9" spans="1:4" ht="15.6" x14ac:dyDescent="0.3">
      <c r="A9" s="32" t="s">
        <v>571</v>
      </c>
      <c r="B9" s="34">
        <v>15.1</v>
      </c>
      <c r="C9" s="45">
        <f t="shared" si="0"/>
        <v>6.8480725623582765</v>
      </c>
      <c r="D9" s="33" t="s">
        <v>40</v>
      </c>
    </row>
    <row r="10" spans="1:4" ht="15.6" x14ac:dyDescent="0.3">
      <c r="A10" s="32" t="s">
        <v>572</v>
      </c>
      <c r="B10" s="34">
        <v>35</v>
      </c>
      <c r="C10" s="45">
        <f t="shared" si="0"/>
        <v>15.873015873015872</v>
      </c>
      <c r="D10" s="33" t="s">
        <v>38</v>
      </c>
    </row>
  </sheetData>
  <sheetProtection password="E5C3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22"/>
  <sheetViews>
    <sheetView workbookViewId="0">
      <selection activeCell="C30" sqref="C30"/>
    </sheetView>
  </sheetViews>
  <sheetFormatPr defaultRowHeight="14.4" x14ac:dyDescent="0.3"/>
  <cols>
    <col min="1" max="1" width="31.88671875" style="42" bestFit="1" customWidth="1"/>
    <col min="2" max="2" width="17.109375" style="5" customWidth="1"/>
    <col min="3" max="3" width="15.77734375" customWidth="1"/>
    <col min="4" max="4" width="14.77734375" customWidth="1"/>
    <col min="5" max="5" width="9.88671875" customWidth="1"/>
  </cols>
  <sheetData>
    <row r="1" spans="1:5" ht="18" thickBot="1" x14ac:dyDescent="0.35">
      <c r="A1" s="701" t="s">
        <v>112</v>
      </c>
      <c r="B1" s="701"/>
      <c r="C1" s="701"/>
      <c r="D1" s="701"/>
      <c r="E1" s="701"/>
    </row>
    <row r="2" spans="1:5" ht="17.25" customHeight="1" thickTop="1" thickBot="1" x14ac:dyDescent="0.35">
      <c r="A2" s="695" t="s">
        <v>47</v>
      </c>
      <c r="B2" s="697" t="s">
        <v>124</v>
      </c>
      <c r="C2" s="699" t="s">
        <v>125</v>
      </c>
      <c r="D2" s="699" t="s">
        <v>126</v>
      </c>
      <c r="E2" s="702" t="s">
        <v>127</v>
      </c>
    </row>
    <row r="3" spans="1:5" ht="15" thickBot="1" x14ac:dyDescent="0.35">
      <c r="A3" s="696"/>
      <c r="B3" s="698"/>
      <c r="C3" s="700"/>
      <c r="D3" s="700"/>
      <c r="E3" s="703"/>
    </row>
    <row r="4" spans="1:5" ht="16.8" thickTop="1" thickBot="1" x14ac:dyDescent="0.35">
      <c r="A4" s="41" t="s">
        <v>289</v>
      </c>
      <c r="B4" s="39"/>
      <c r="C4" s="40"/>
      <c r="D4" s="40"/>
      <c r="E4" s="43"/>
    </row>
    <row r="5" spans="1:5" ht="16.2" thickBot="1" x14ac:dyDescent="0.35">
      <c r="A5" s="41" t="s">
        <v>143</v>
      </c>
      <c r="B5" s="39"/>
      <c r="C5" s="40"/>
      <c r="D5" s="40"/>
      <c r="E5" s="43"/>
    </row>
    <row r="6" spans="1:5" s="33" customFormat="1" ht="16.2" thickBot="1" x14ac:dyDescent="0.35">
      <c r="A6" s="482" t="s">
        <v>128</v>
      </c>
      <c r="B6" s="483">
        <v>6.2866199999999997E-2</v>
      </c>
      <c r="C6" s="484">
        <v>0.43</v>
      </c>
      <c r="D6" s="484">
        <v>0.43</v>
      </c>
      <c r="E6" s="485" t="s">
        <v>150</v>
      </c>
    </row>
    <row r="7" spans="1:5" s="33" customFormat="1" ht="16.2" thickBot="1" x14ac:dyDescent="0.35">
      <c r="A7" s="486" t="s">
        <v>129</v>
      </c>
      <c r="B7" s="487">
        <v>5.9614500000000001E-2</v>
      </c>
      <c r="C7" s="475">
        <v>1.0900000000000001</v>
      </c>
      <c r="D7" s="475">
        <v>1.07</v>
      </c>
      <c r="E7" s="488" t="s">
        <v>628</v>
      </c>
    </row>
    <row r="8" spans="1:5" s="33" customFormat="1" ht="16.2" thickBot="1" x14ac:dyDescent="0.35">
      <c r="A8" s="486" t="s">
        <v>40</v>
      </c>
      <c r="B8" s="487">
        <v>6.2100000000000002E-2</v>
      </c>
      <c r="C8" s="475">
        <v>1.1599999999999999</v>
      </c>
      <c r="D8" s="475">
        <v>1.1399999999999999</v>
      </c>
      <c r="E8" s="488" t="s">
        <v>629</v>
      </c>
    </row>
    <row r="9" spans="1:5" s="33" customFormat="1" ht="16.2" thickBot="1" x14ac:dyDescent="0.35">
      <c r="A9" s="486" t="s">
        <v>130</v>
      </c>
      <c r="B9" s="487">
        <v>5.7446700000000003E-2</v>
      </c>
      <c r="C9" s="475">
        <v>1.37</v>
      </c>
      <c r="D9" s="475">
        <v>1.19</v>
      </c>
      <c r="E9" s="488" t="s">
        <v>630</v>
      </c>
    </row>
    <row r="10" spans="1:5" s="33" customFormat="1" ht="16.2" thickBot="1" x14ac:dyDescent="0.35">
      <c r="A10" s="486" t="s">
        <v>131</v>
      </c>
      <c r="B10" s="487">
        <v>6.2504900000000002E-2</v>
      </c>
      <c r="C10" s="475">
        <v>1.1399999999999999</v>
      </c>
      <c r="D10" s="475">
        <v>1.0900000000000001</v>
      </c>
      <c r="E10" s="488" t="s">
        <v>631</v>
      </c>
    </row>
    <row r="11" spans="1:5" s="33" customFormat="1" ht="16.2" thickBot="1" x14ac:dyDescent="0.35">
      <c r="A11" s="486" t="s">
        <v>132</v>
      </c>
      <c r="B11" s="487">
        <v>6.1782300000000005E-2</v>
      </c>
      <c r="C11" s="475">
        <v>1.17</v>
      </c>
      <c r="D11" s="475">
        <v>1.1599999999999999</v>
      </c>
      <c r="E11" s="488" t="s">
        <v>632</v>
      </c>
    </row>
    <row r="12" spans="1:5" s="33" customFormat="1" ht="16.2" thickBot="1" x14ac:dyDescent="0.35">
      <c r="A12" s="486" t="s">
        <v>133</v>
      </c>
      <c r="B12" s="487">
        <v>6.6840500000000011E-2</v>
      </c>
      <c r="C12" s="475">
        <v>1.1399999999999999</v>
      </c>
      <c r="D12" s="475">
        <v>0.97</v>
      </c>
      <c r="E12" s="488" t="s">
        <v>150</v>
      </c>
    </row>
    <row r="13" spans="1:5" s="33" customFormat="1" ht="16.2" thickBot="1" x14ac:dyDescent="0.35">
      <c r="A13" s="486" t="s">
        <v>38</v>
      </c>
      <c r="B13" s="487">
        <v>6.3588800000000001E-2</v>
      </c>
      <c r="C13" s="475">
        <v>1.38</v>
      </c>
      <c r="D13" s="475">
        <v>1.1499999999999999</v>
      </c>
      <c r="E13" s="488" t="s">
        <v>150</v>
      </c>
    </row>
    <row r="14" spans="1:5" s="33" customFormat="1" ht="16.2" thickBot="1" x14ac:dyDescent="0.35">
      <c r="A14" s="486" t="s">
        <v>134</v>
      </c>
      <c r="B14" s="489">
        <v>6.5756600000000012E-2</v>
      </c>
      <c r="C14" s="475">
        <v>1.2</v>
      </c>
      <c r="D14" s="475">
        <v>1.1100000000000001</v>
      </c>
      <c r="E14" s="488" t="s">
        <v>150</v>
      </c>
    </row>
    <row r="15" spans="1:5" s="33" customFormat="1" ht="16.2" thickBot="1" x14ac:dyDescent="0.35">
      <c r="A15" s="486" t="s">
        <v>135</v>
      </c>
      <c r="B15" s="489">
        <v>6.395010000000001E-2</v>
      </c>
      <c r="C15" s="475">
        <v>1.27</v>
      </c>
      <c r="D15" s="490">
        <v>1.27</v>
      </c>
      <c r="E15" s="488" t="s">
        <v>633</v>
      </c>
    </row>
    <row r="16" spans="1:5" s="33" customFormat="1" ht="16.2" thickBot="1" x14ac:dyDescent="0.35">
      <c r="A16" s="486" t="s">
        <v>136</v>
      </c>
      <c r="B16" s="489">
        <v>6.06984E-2</v>
      </c>
      <c r="C16" s="475">
        <v>1.38</v>
      </c>
      <c r="D16" s="475">
        <v>1.1399999999999999</v>
      </c>
      <c r="E16" s="488" t="s">
        <v>150</v>
      </c>
    </row>
    <row r="17" spans="1:5" s="33" customFormat="1" ht="16.2" thickBot="1" x14ac:dyDescent="0.35">
      <c r="A17" s="486" t="s">
        <v>137</v>
      </c>
      <c r="B17" s="489">
        <v>5.8891899999999997E-2</v>
      </c>
      <c r="C17" s="475">
        <v>0.9</v>
      </c>
      <c r="D17" s="475">
        <v>0.93</v>
      </c>
      <c r="E17" s="488" t="s">
        <v>150</v>
      </c>
    </row>
    <row r="18" spans="1:5" s="33" customFormat="1" ht="16.2" thickBot="1" x14ac:dyDescent="0.35">
      <c r="A18" s="486" t="s">
        <v>138</v>
      </c>
      <c r="B18" s="489">
        <v>6.2504900000000002E-2</v>
      </c>
      <c r="C18" s="475">
        <v>1.07</v>
      </c>
      <c r="D18" s="490">
        <v>1.07</v>
      </c>
      <c r="E18" s="488" t="s">
        <v>150</v>
      </c>
    </row>
    <row r="19" spans="1:5" s="33" customFormat="1" ht="16.2" thickBot="1" x14ac:dyDescent="0.35">
      <c r="A19" s="486" t="s">
        <v>139</v>
      </c>
      <c r="B19" s="489">
        <v>5.7446700000000003E-2</v>
      </c>
      <c r="C19" s="475">
        <v>1.06</v>
      </c>
      <c r="D19" s="490">
        <v>1.06</v>
      </c>
      <c r="E19" s="488" t="s">
        <v>150</v>
      </c>
    </row>
    <row r="20" spans="1:5" s="33" customFormat="1" ht="16.2" thickBot="1" x14ac:dyDescent="0.35">
      <c r="A20" s="486" t="s">
        <v>140</v>
      </c>
      <c r="B20" s="489">
        <v>6.1059700000000001E-2</v>
      </c>
      <c r="C20" s="475">
        <v>1.36</v>
      </c>
      <c r="D20" s="490">
        <v>1.1000000000000001</v>
      </c>
      <c r="E20" s="488" t="s">
        <v>150</v>
      </c>
    </row>
    <row r="21" spans="1:5" s="33" customFormat="1" ht="16.2" thickBot="1" x14ac:dyDescent="0.35">
      <c r="A21" s="486" t="s">
        <v>141</v>
      </c>
      <c r="B21" s="489">
        <v>5.8891899999999997E-2</v>
      </c>
      <c r="C21" s="475">
        <v>1</v>
      </c>
      <c r="D21" s="490">
        <v>1</v>
      </c>
      <c r="E21" s="488" t="s">
        <v>150</v>
      </c>
    </row>
    <row r="22" spans="1:5" s="33" customFormat="1" ht="16.2" thickBot="1" x14ac:dyDescent="0.35">
      <c r="A22" s="486" t="s">
        <v>623</v>
      </c>
      <c r="B22" s="489">
        <v>6.21436E-2</v>
      </c>
      <c r="C22" s="475">
        <v>1.07</v>
      </c>
      <c r="D22" s="490">
        <v>0.96</v>
      </c>
      <c r="E22" s="488" t="s">
        <v>150</v>
      </c>
    </row>
  </sheetData>
  <sheetProtection password="E5C3" sheet="1" objects="1" scenarios="1"/>
  <mergeCells count="6">
    <mergeCell ref="A2:A3"/>
    <mergeCell ref="B2:B3"/>
    <mergeCell ref="C2:C3"/>
    <mergeCell ref="D2:D3"/>
    <mergeCell ref="A1:E1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START</vt:lpstr>
      <vt:lpstr>ENGLISH UNITS </vt:lpstr>
      <vt:lpstr>ENGLISH-TO-METRIC CONVERSION</vt:lpstr>
      <vt:lpstr>METRIC UNITS</vt:lpstr>
      <vt:lpstr>METRIC-TO-ENGLISH CONVERSION</vt:lpstr>
      <vt:lpstr>Munition Data</vt:lpstr>
      <vt:lpstr>Explosive Data</vt:lpstr>
      <vt:lpstr>AtmDescrip</vt:lpstr>
      <vt:lpstr>ExplTypes</vt:lpstr>
      <vt:lpstr>MultiplyerType</vt:lpstr>
      <vt:lpstr>PEStypes</vt:lpstr>
      <vt:lpstr>'ENGLISH UNITS '!Print_Area</vt:lpstr>
      <vt:lpstr>'ENGLISH-TO-METRIC CONVERSION'!Print_Area</vt:lpstr>
      <vt:lpstr>'METRIC UNITS'!Print_Area</vt:lpstr>
      <vt:lpstr>'METRIC-TO-ENGLISH CONVERSION'!Print_Area</vt:lpstr>
      <vt:lpstr>START!Print_Area</vt:lpstr>
      <vt:lpstr>Psos</vt:lpstr>
      <vt:lpstr>range</vt:lpstr>
      <vt:lpstr>TNTEqs</vt:lpstr>
      <vt:lpstr>WeaponTypes</vt:lpstr>
      <vt:lpstr>ZeffIs</vt:lpstr>
      <vt:lpstr>ZeffPs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Blast Effects Computer</dc:title>
  <dc:creator>Karen Barnes</dc:creator>
  <cp:lastModifiedBy>Karen Barnes</cp:lastModifiedBy>
  <cp:lastPrinted>2016-01-12T15:28:07Z</cp:lastPrinted>
  <dcterms:created xsi:type="dcterms:W3CDTF">1999-05-24T18:59:48Z</dcterms:created>
  <dcterms:modified xsi:type="dcterms:W3CDTF">2018-07-16T19:10:26Z</dcterms:modified>
</cp:coreProperties>
</file>